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36" activeTab="43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Классика AMG" sheetId="48" r:id="rId14"/>
    <sheet name="Кассета AMG" sheetId="56" r:id="rId15"/>
    <sheet name="День-Ночь AMG 45" sheetId="103" r:id="rId16"/>
    <sheet name="Классика Double AMG" sheetId="109" r:id="rId17"/>
    <sheet name="Классика Mono AMG" sheetId="113" r:id="rId18"/>
    <sheet name="P190x" sheetId="115" r:id="rId19"/>
    <sheet name="P390x" sheetId="116" r:id="rId20"/>
    <sheet name="P890x" sheetId="121" r:id="rId21"/>
    <sheet name="P891x" sheetId="122" r:id="rId22"/>
    <sheet name="Карнизы шторные" sheetId="118" r:id="rId23"/>
    <sheet name="Карнизы шторные Glydea" sheetId="120" r:id="rId24"/>
    <sheet name="Римские шторы" sheetId="119" r:id="rId25"/>
    <sheet name="Римские шторы MAXI" sheetId="162" r:id="rId26"/>
    <sheet name="Классикa BNT M " sheetId="125" r:id="rId27"/>
    <sheet name="День ночь BNT M" sheetId="163" r:id="rId28"/>
    <sheet name="Зебра BNT M" sheetId="126" r:id="rId29"/>
    <sheet name="Зебра кассета BNT М" sheetId="127" r:id="rId30"/>
    <sheet name="Кассета BNT M " sheetId="128" r:id="rId31"/>
    <sheet name="Классика BNT L" sheetId="129" r:id="rId32"/>
    <sheet name="Зебра BNT L" sheetId="130" r:id="rId33"/>
    <sheet name="Кассета ВNT L" sheetId="131" r:id="rId34"/>
    <sheet name="Классика Моно BNT М" sheetId="132" r:id="rId35"/>
    <sheet name="Кассета Моно BNT M" sheetId="133" r:id="rId36"/>
    <sheet name="Классика Моно BNT L" sheetId="134" r:id="rId37"/>
    <sheet name="Кассета Моно BNT L" sheetId="143" r:id="rId38"/>
    <sheet name="Моно Зебра BNT M" sheetId="144" r:id="rId39"/>
    <sheet name="Кассета Моно Зебра BNT M" sheetId="145" r:id="rId40"/>
    <sheet name="Моно Зебра BNT L" sheetId="146" r:id="rId41"/>
    <sheet name="Классика Double BNT L" sheetId="148" r:id="rId42"/>
    <sheet name="Зебра Double BNT L" sheetId="149" r:id="rId43"/>
    <sheet name="Кассета Double BNT L" sheetId="150" r:id="rId44"/>
  </sheets>
  <calcPr calcId="162913"/>
</workbook>
</file>

<file path=xl/calcChain.xml><?xml version="1.0" encoding="utf-8"?>
<calcChain xmlns="http://schemas.openxmlformats.org/spreadsheetml/2006/main">
  <c r="B26" i="113" l="1"/>
  <c r="D26" i="113" s="1"/>
  <c r="D25" i="113"/>
  <c r="B25" i="113"/>
  <c r="D24" i="113"/>
  <c r="B24" i="113"/>
  <c r="B23" i="113"/>
  <c r="D23" i="113" s="1"/>
  <c r="D22" i="113"/>
  <c r="B22" i="113"/>
  <c r="D21" i="113"/>
  <c r="B21" i="113"/>
  <c r="B20" i="113"/>
  <c r="D20" i="113" s="1"/>
  <c r="D19" i="113"/>
  <c r="B19" i="113"/>
  <c r="D18" i="113"/>
  <c r="B18" i="113"/>
  <c r="B17" i="113"/>
  <c r="D17" i="113" s="1"/>
  <c r="D16" i="113"/>
  <c r="B16" i="113"/>
  <c r="D15" i="113"/>
  <c r="B15" i="113"/>
  <c r="B14" i="113"/>
  <c r="D14" i="113" s="1"/>
  <c r="D13" i="113"/>
  <c r="B13" i="113"/>
  <c r="D12" i="113"/>
  <c r="B12" i="113"/>
  <c r="D25" i="109"/>
  <c r="B25" i="109"/>
  <c r="B24" i="109"/>
  <c r="D24" i="109" s="1"/>
  <c r="B23" i="109"/>
  <c r="D23" i="109" s="1"/>
  <c r="D22" i="109"/>
  <c r="B22" i="109"/>
  <c r="B21" i="109"/>
  <c r="D21" i="109" s="1"/>
  <c r="B20" i="109"/>
  <c r="D20" i="109" s="1"/>
  <c r="D19" i="109"/>
  <c r="B19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9" i="103"/>
  <c r="D19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27" i="113" l="1"/>
  <c r="D26" i="109"/>
  <c r="D14" i="103"/>
  <c r="D12" i="103"/>
  <c r="D25" i="103" s="1"/>
  <c r="D49" i="56"/>
  <c r="B49" i="56"/>
  <c r="B48" i="56"/>
  <c r="D48" i="56" s="1"/>
  <c r="B47" i="56"/>
  <c r="D47" i="56" s="1"/>
  <c r="D46" i="56"/>
  <c r="B46" i="56"/>
  <c r="B44" i="56"/>
  <c r="D44" i="56" s="1"/>
  <c r="D43" i="56"/>
  <c r="B43" i="56"/>
  <c r="B42" i="56"/>
  <c r="D42" i="56" s="1"/>
  <c r="B41" i="56"/>
  <c r="B45" i="56" s="1"/>
  <c r="D45" i="56" s="1"/>
  <c r="D40" i="56"/>
  <c r="B40" i="56"/>
  <c r="B39" i="56"/>
  <c r="D39" i="56" s="1"/>
  <c r="B38" i="56"/>
  <c r="D38" i="56" s="1"/>
  <c r="D37" i="56"/>
  <c r="B37" i="56"/>
  <c r="B36" i="56"/>
  <c r="D36" i="56" s="1"/>
  <c r="B35" i="56"/>
  <c r="D35" i="56" s="1"/>
  <c r="D34" i="56"/>
  <c r="B34" i="56"/>
  <c r="B33" i="56"/>
  <c r="D33" i="56" s="1"/>
  <c r="B32" i="56"/>
  <c r="D32" i="56" s="1"/>
  <c r="D31" i="56"/>
  <c r="B31" i="56"/>
  <c r="B30" i="56"/>
  <c r="D30" i="56" s="1"/>
  <c r="B29" i="56"/>
  <c r="D29" i="56" s="1"/>
  <c r="D28" i="56"/>
  <c r="B28" i="56"/>
  <c r="B27" i="56"/>
  <c r="D27" i="56" s="1"/>
  <c r="B26" i="56"/>
  <c r="D26" i="56" s="1"/>
  <c r="D25" i="56"/>
  <c r="B25" i="56"/>
  <c r="B24" i="56"/>
  <c r="D24" i="56" s="1"/>
  <c r="B23" i="56"/>
  <c r="D23" i="56" s="1"/>
  <c r="D22" i="56"/>
  <c r="B22" i="56"/>
  <c r="B21" i="56"/>
  <c r="B19" i="56" s="1"/>
  <c r="D19" i="56" s="1"/>
  <c r="B20" i="56"/>
  <c r="D20" i="56" s="1"/>
  <c r="B18" i="56"/>
  <c r="D18" i="56" s="1"/>
  <c r="D26" i="48"/>
  <c r="B26" i="48"/>
  <c r="B25" i="48"/>
  <c r="D25" i="48" s="1"/>
  <c r="B24" i="48"/>
  <c r="D24" i="48" s="1"/>
  <c r="D23" i="48"/>
  <c r="B23" i="48"/>
  <c r="B22" i="48"/>
  <c r="D22" i="48" s="1"/>
  <c r="B21" i="48"/>
  <c r="D21" i="48" s="1"/>
  <c r="B19" i="48"/>
  <c r="D19" i="48" s="1"/>
  <c r="B18" i="48"/>
  <c r="D18" i="48" s="1"/>
  <c r="D17" i="48"/>
  <c r="B17" i="48"/>
  <c r="B15" i="48"/>
  <c r="B16" i="48" s="1"/>
  <c r="D16" i="48" s="1"/>
  <c r="D14" i="48"/>
  <c r="B14" i="48"/>
  <c r="B13" i="48"/>
  <c r="B20" i="48" s="1"/>
  <c r="D20" i="48" s="1"/>
  <c r="B12" i="48"/>
  <c r="D12" i="48" s="1"/>
  <c r="D41" i="56" l="1"/>
  <c r="D21" i="56"/>
  <c r="D50" i="56" s="1"/>
  <c r="D15" i="48"/>
  <c r="D13" i="48"/>
  <c r="D27" i="48" s="1"/>
  <c r="C45" i="163" l="1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40" i="129"/>
  <c r="C39" i="129"/>
  <c r="C35" i="129"/>
  <c r="E35" i="129" s="1"/>
  <c r="C36" i="129"/>
  <c r="E36" i="129" s="1"/>
  <c r="C34" i="129"/>
  <c r="C33" i="129"/>
  <c r="B44" i="161"/>
  <c r="D44" i="161" s="1"/>
  <c r="B43" i="161"/>
  <c r="D43" i="161" s="1"/>
  <c r="B31" i="162" l="1"/>
  <c r="D31" i="162" s="1"/>
  <c r="D20" i="162"/>
  <c r="B22" i="162"/>
  <c r="D22" i="162" s="1"/>
  <c r="B42" i="161" l="1"/>
  <c r="D42" i="161" s="1"/>
  <c r="B31" i="161"/>
  <c r="D31" i="161" s="1"/>
  <c r="B29" i="161"/>
  <c r="D29" i="161" s="1"/>
  <c r="B50" i="161"/>
  <c r="B49" i="161"/>
  <c r="B48" i="161"/>
  <c r="B41" i="161"/>
  <c r="D41" i="161" s="1"/>
  <c r="B40" i="161"/>
  <c r="D40" i="161" s="1"/>
  <c r="B39" i="161"/>
  <c r="D39" i="161" s="1"/>
  <c r="B38" i="161"/>
  <c r="D38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0" i="161"/>
  <c r="D30" i="161" s="1"/>
  <c r="B27" i="161"/>
  <c r="D27" i="161" s="1"/>
  <c r="B26" i="161"/>
  <c r="D26" i="161" s="1"/>
  <c r="B23" i="161"/>
  <c r="D23" i="161" s="1"/>
  <c r="B22" i="161"/>
  <c r="D22" i="161" s="1"/>
  <c r="B21" i="161"/>
  <c r="D21" i="161" s="1"/>
  <c r="B20" i="161"/>
  <c r="D20" i="161" s="1"/>
  <c r="B19" i="161"/>
  <c r="D19" i="161" s="1"/>
  <c r="B16" i="161"/>
  <c r="B28" i="161" s="1"/>
  <c r="D28" i="161" s="1"/>
  <c r="B15" i="161"/>
  <c r="B52" i="161" s="1"/>
  <c r="B24" i="161" l="1"/>
  <c r="D24" i="161" s="1"/>
  <c r="B45" i="161"/>
  <c r="D45" i="161" s="1"/>
  <c r="B51" i="161"/>
  <c r="B25" i="161"/>
  <c r="D25" i="161" s="1"/>
  <c r="C38" i="129"/>
  <c r="C37" i="129"/>
  <c r="D46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2" i="125"/>
  <c r="C40" i="125"/>
  <c r="C39" i="125"/>
  <c r="C38" i="125"/>
  <c r="C37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B26" i="118" l="1"/>
  <c r="B25" i="118"/>
  <c r="B24" i="118"/>
  <c r="D24" i="118" s="1"/>
  <c r="B23" i="118"/>
  <c r="B20" i="118"/>
  <c r="B19" i="118"/>
  <c r="B17" i="118"/>
  <c r="B16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9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C33" i="128"/>
  <c r="C31" i="128"/>
  <c r="E31" i="128" s="1"/>
  <c r="C32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C45" i="146"/>
  <c r="E45" i="146" s="1"/>
  <c r="C44" i="146"/>
  <c r="E44" i="146" s="1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33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41" i="120"/>
  <c r="D56" i="121" l="1"/>
  <c r="B37" i="120"/>
  <c r="D37" i="120" s="1"/>
  <c r="B27" i="120" l="1"/>
  <c r="B26" i="120"/>
  <c r="B35" i="120"/>
  <c r="B28" i="120"/>
  <c r="D28" i="120" s="1"/>
  <c r="B20" i="120"/>
  <c r="B42" i="120" l="1"/>
  <c r="D42" i="120" s="1"/>
  <c r="D41" i="120"/>
  <c r="B40" i="120"/>
  <c r="D40" i="120" s="1"/>
  <c r="D39" i="120"/>
  <c r="B38" i="120"/>
  <c r="D38" i="120" s="1"/>
  <c r="B36" i="120"/>
  <c r="D36" i="120" s="1"/>
  <c r="D35" i="120"/>
  <c r="D34" i="120"/>
  <c r="B29" i="120"/>
  <c r="D29" i="120" s="1"/>
  <c r="D20" i="120"/>
  <c r="B9" i="120"/>
  <c r="B34" i="120" s="1"/>
  <c r="B32" i="120" l="1"/>
  <c r="D32" i="120" s="1"/>
  <c r="B30" i="120"/>
  <c r="D30" i="120" s="1"/>
  <c r="B19" i="120"/>
  <c r="D19" i="120" s="1"/>
  <c r="B25" i="120"/>
  <c r="D25" i="120" s="1"/>
  <c r="B21" i="120"/>
  <c r="D21" i="120" s="1"/>
  <c r="B24" i="120"/>
  <c r="D24" i="120" s="1"/>
  <c r="D33" i="120"/>
  <c r="B31" i="120"/>
  <c r="D31" i="120" s="1"/>
  <c r="B23" i="120"/>
  <c r="D23" i="120" s="1"/>
  <c r="D26" i="120"/>
  <c r="D27" i="120"/>
  <c r="B22" i="120"/>
  <c r="D22" i="120" s="1"/>
  <c r="B32" i="119"/>
  <c r="D32" i="119" s="1"/>
  <c r="B24" i="119"/>
  <c r="D24" i="119" s="1"/>
  <c r="B23" i="119"/>
  <c r="D23" i="119" s="1"/>
  <c r="D43" i="120" l="1"/>
  <c r="B27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4" i="118"/>
  <c r="D35" i="118"/>
  <c r="D36" i="118"/>
  <c r="B38" i="118"/>
  <c r="D38" i="118" s="1"/>
  <c r="B37" i="118"/>
  <c r="D37" i="118" s="1"/>
  <c r="B36" i="118"/>
  <c r="B34" i="118"/>
  <c r="B32" i="118"/>
  <c r="D32" i="118" s="1"/>
  <c r="B31" i="118"/>
  <c r="D31" i="118" s="1"/>
  <c r="B30" i="118"/>
  <c r="D30" i="118" s="1"/>
  <c r="D36" i="119" l="1"/>
  <c r="D17" i="118"/>
  <c r="B29" i="118" l="1"/>
  <c r="D29" i="118" s="1"/>
  <c r="B28" i="118"/>
  <c r="D28" i="118" s="1"/>
  <c r="B33" i="118"/>
  <c r="D33" i="118" s="1"/>
  <c r="B22" i="118"/>
  <c r="D22" i="118" s="1"/>
  <c r="B21" i="118"/>
  <c r="D21" i="118" s="1"/>
  <c r="D20" i="118"/>
  <c r="B18" i="118"/>
  <c r="D18" i="118" s="1"/>
  <c r="D23" i="118"/>
  <c r="D16" i="118"/>
  <c r="D27" i="118"/>
  <c r="D19" i="118"/>
  <c r="D39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38" i="10"/>
  <c r="D38" i="10" s="1"/>
  <c r="B43" i="9"/>
  <c r="D43" i="9" s="1"/>
  <c r="B42" i="9"/>
  <c r="D42" i="9" s="1"/>
  <c r="B36" i="10"/>
  <c r="D36" i="10" s="1"/>
  <c r="B37" i="10"/>
  <c r="D37" i="10" s="1"/>
  <c r="B35" i="10"/>
  <c r="D35" i="10" s="1"/>
  <c r="B34" i="10"/>
  <c r="D34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B33" i="10"/>
  <c r="D33" i="10" s="1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1" i="10"/>
  <c r="D41" i="10" s="1"/>
  <c r="B42" i="10"/>
  <c r="D42" i="10" s="1"/>
  <c r="B40" i="10"/>
  <c r="D40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3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<sst xmlns="http://schemas.openxmlformats.org/spreadsheetml/2006/main" count="3402" uniqueCount="838">
  <si>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</si>
  <si>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</si>
  <si>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</si>
  <si>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</si>
  <si>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</si>
  <si>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</si>
  <si>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</si>
  <si>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</si>
  <si>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</si>
  <si>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</si>
  <si>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</si>
  <si>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</si>
  <si>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</si>
  <si>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</si>
  <si>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</si>
  <si>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</si>
  <si>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</si>
  <si>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</si>
  <si>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</si>
  <si>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</si>
  <si>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</si>
  <si>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</si>
  <si>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</si>
  <si>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</si>
  <si>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</si>
  <si>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</si>
  <si>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</si>
  <si>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</si>
  <si>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</si>
  <si>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</si>
  <si>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</si>
  <si>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</si>
  <si>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</si>
  <si>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</si>
  <si>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</si>
  <si>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</si>
  <si>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</si>
  <si>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</si>
  <si>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</si>
  <si>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</si>
  <si>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</si>
  <si>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</si>
  <si>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</si>
  <si>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</si>
  <si>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</si>
  <si>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</si>
  <si>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</si>
  <si>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</si>
  <si>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</si>
  <si>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</si>
  <si>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</si>
  <si>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</si>
  <si>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</si>
  <si>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</si>
  <si>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</si>
  <si>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</si>
  <si>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</si>
  <si>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</si>
  <si>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</si>
  <si>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</si>
  <si>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</si>
  <si>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</si>
  <si>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</si>
  <si>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</si>
  <si>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</si>
  <si>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</si>
  <si>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</si>
  <si>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</si>
  <si>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</si>
  <si>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</si>
  <si>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</si>
  <si>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</si>
  <si>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</si>
  <si>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</si>
  <si>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</si>
  <si>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</si>
  <si>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</si>
  <si>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</si>
  <si>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</si>
  <si>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</si>
  <si>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</si>
  <si>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</si>
  <si>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</si>
  <si>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</si>
  <si>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</si>
  <si>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</si>
  <si>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</si>
  <si>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</si>
  <si>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</si>
  <si>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</si>
  <si>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</si>
  <si>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</si>
  <si>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</si>
  <si>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</si>
  <si>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</si>
  <si>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</si>
  <si>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</si>
  <si>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</si>
  <si>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</si>
  <si>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</si>
  <si>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</si>
  <si>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</si>
  <si>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</si>
  <si>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</si>
  <si>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</si>
  <si>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</si>
  <si>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</si>
  <si>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</si>
  <si>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</si>
  <si>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</si>
  <si>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</si>
  <si>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</si>
  <si>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</si>
  <si>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</si>
  <si>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</si>
  <si>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</si>
  <si>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</si>
  <si>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</si>
  <si>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</si>
  <si>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</si>
  <si>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</si>
  <si>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</si>
  <si>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</si>
  <si>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</si>
  <si>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</si>
  <si>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</si>
  <si>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</si>
  <si>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</si>
  <si>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</si>
  <si>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</si>
  <si>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</si>
  <si>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</si>
  <si>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</si>
  <si>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</si>
  <si>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</si>
  <si>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</si>
  <si>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</si>
  <si>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</si>
  <si>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</si>
  <si>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</si>
  <si>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</si>
  <si>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</si>
  <si>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</si>
  <si>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</si>
  <si>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</si>
  <si>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</si>
  <si>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</si>
  <si>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</si>
  <si>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</si>
  <si>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</si>
  <si>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</si>
  <si>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</si>
  <si>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</si>
  <si>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</si>
  <si>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</si>
  <si>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</si>
  <si>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</si>
  <si>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</si>
  <si>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</si>
  <si>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</si>
  <si>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</si>
  <si>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</si>
  <si>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</si>
  <si>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</si>
  <si>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</si>
  <si>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</si>
  <si>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</si>
  <si>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</si>
  <si>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</si>
  <si>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</si>
  <si>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</si>
  <si>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</si>
  <si>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</si>
  <si>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</si>
  <si>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</si>
  <si>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</si>
  <si>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</si>
  <si>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</si>
  <si>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</si>
  <si>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</si>
  <si>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</si>
  <si>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</si>
  <si>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</si>
  <si>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</si>
  <si>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</si>
  <si>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</si>
  <si>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</si>
  <si>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</si>
  <si>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</si>
  <si>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</si>
  <si>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</si>
  <si>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</si>
  <si>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</si>
  <si>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</si>
  <si>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</si>
  <si>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</si>
  <si>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</si>
  <si>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</si>
  <si>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</si>
  <si>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</si>
  <si>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</si>
  <si>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</si>
  <si>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</si>
  <si>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</si>
  <si>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</si>
  <si>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</si>
  <si>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</si>
  <si>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</si>
  <si>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</si>
  <si>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</si>
  <si>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</si>
  <si>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</si>
  <si>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</si>
  <si>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</si>
  <si>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</si>
  <si>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</si>
  <si>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</si>
  <si>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</si>
  <si>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</si>
  <si>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</si>
  <si>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</si>
  <si>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</si>
  <si>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</si>
  <si>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</si>
  <si>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</si>
  <si>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</si>
  <si>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</si>
  <si>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</si>
  <si>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</si>
  <si>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</si>
  <si>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</si>
  <si>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</si>
  <si>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</si>
  <si>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</si>
  <si>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</si>
  <si>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</si>
  <si>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Ремень, 50кг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</si>
  <si>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</si>
  <si>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</si>
  <si>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</si>
  <si>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</si>
  <si>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</si>
  <si>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</si>
  <si>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</si>
  <si>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</si>
  <si>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</si>
  <si>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</si>
  <si>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</si>
  <si>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</si>
  <si>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</si>
  <si>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</si>
  <si>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</si>
  <si>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</si>
  <si>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</si>
  <si>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</si>
  <si>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</si>
  <si>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</si>
  <si>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</si>
  <si>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</si>
  <si>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</si>
  <si>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Ремень</t>
  </si>
  <si>
    <t>2 - 100 кг</t>
  </si>
  <si>
    <t>1 - 50 кг</t>
  </si>
  <si>
    <t>Расчет стоимости, 
римские шторы с ЭП</t>
  </si>
  <si>
    <t>1- стеновой/потолочный
2 - стеновой/потолочный пружинный</t>
  </si>
  <si>
    <t>Фибергласовый стержень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</si>
  <si>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</si>
  <si>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</si>
  <si>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</si>
  <si>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</si>
  <si>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</si>
  <si>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</si>
  <si>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</si>
  <si>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фибергласовый 3мм</t>
  </si>
  <si>
    <t>Стержень фибергласовый 5мм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</si>
  <si>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</si>
  <si>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</si>
  <si>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</si>
  <si>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</si>
  <si>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</si>
  <si>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</si>
  <si>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</si>
  <si>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</si>
  <si>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</si>
  <si>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</si>
  <si>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</si>
  <si>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</si>
  <si>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</si>
  <si>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</si>
  <si>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</si>
  <si>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</si>
  <si>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</si>
  <si>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</si>
  <si>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</si>
  <si>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</si>
  <si>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</si>
  <si>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</si>
  <si>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</si>
  <si>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</si>
  <si>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</si>
  <si>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</si>
  <si>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</si>
  <si>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</si>
  <si>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</si>
  <si>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</si>
  <si>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</si>
  <si>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</si>
  <si>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</si>
  <si>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</si>
  <si>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</si>
  <si>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</si>
  <si>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</si>
  <si>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</si>
  <si>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</si>
  <si>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</si>
  <si>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</si>
  <si>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</si>
  <si>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</si>
  <si>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</si>
  <si>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</si>
  <si>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</si>
  <si>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</si>
  <si>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</si>
  <si>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</si>
  <si>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</si>
  <si>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</si>
  <si>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</si>
  <si>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</si>
  <si>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</si>
  <si>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</si>
  <si>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</si>
  <si>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</si>
  <si>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</si>
  <si>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</si>
  <si>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</si>
  <si>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</si>
  <si>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</si>
  <si>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</si>
  <si>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</si>
  <si>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</si>
  <si>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</si>
  <si>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</si>
  <si>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</si>
  <si>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</si>
  <si>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</si>
  <si>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</si>
  <si>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</si>
  <si>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</si>
  <si>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</si>
  <si>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</si>
  <si>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</si>
  <si>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</si>
  <si>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</si>
  <si>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</si>
  <si>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</si>
  <si>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</si>
  <si>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</si>
  <si>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</si>
  <si>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</si>
  <si>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</si>
  <si>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</si>
  <si>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</si>
  <si>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</si>
  <si>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</si>
  <si>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</si>
  <si>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</si>
  <si>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</si>
  <si>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</si>
  <si>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</si>
  <si>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</si>
  <si>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</si>
  <si>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</si>
  <si>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</si>
  <si>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</si>
  <si>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</si>
  <si>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</si>
  <si>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</si>
  <si>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</si>
  <si>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</si>
  <si>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</si>
  <si>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</si>
  <si>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</si>
  <si>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</si>
  <si>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</si>
  <si>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</si>
  <si>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</si>
  <si>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</si>
  <si>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</si>
  <si>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</si>
  <si>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</si>
  <si>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</si>
  <si>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</si>
  <si>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</si>
  <si>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</si>
  <si>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</si>
  <si>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</si>
  <si>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</si>
  <si>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</si>
  <si>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</si>
  <si>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</si>
  <si>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</si>
  <si>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</si>
  <si>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</si>
  <si>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</si>
  <si>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</si>
  <si>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</si>
  <si>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</si>
  <si>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</si>
  <si>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</si>
  <si>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</si>
  <si>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</si>
  <si>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</si>
  <si>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</si>
  <si>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</si>
  <si>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</si>
  <si>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</si>
  <si>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</si>
  <si>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</si>
  <si>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</si>
  <si>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</si>
  <si>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</si>
  <si>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</si>
  <si>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</si>
  <si>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</si>
  <si>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</si>
  <si>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</si>
  <si>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</si>
  <si>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</si>
  <si>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</si>
  <si>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</si>
  <si>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</si>
  <si>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</si>
  <si>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</si>
  <si>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</si>
  <si>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</si>
  <si>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</si>
  <si>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</si>
  <si>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</si>
  <si>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</si>
  <si>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</si>
  <si>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</si>
  <si>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</si>
  <si>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</si>
  <si>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</si>
  <si>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</si>
  <si>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</si>
  <si>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</si>
  <si>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</si>
  <si>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</si>
  <si>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</si>
  <si>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</si>
  <si>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</si>
  <si>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</si>
  <si>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</si>
  <si>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</si>
  <si>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</si>
  <si>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</si>
  <si>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</si>
  <si>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</si>
  <si>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</si>
  <si>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</si>
  <si>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</si>
  <si>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</si>
  <si>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</si>
  <si>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</si>
  <si>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</si>
  <si>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</si>
  <si>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</si>
  <si>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</si>
  <si>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</si>
  <si>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</si>
  <si>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</si>
  <si>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</si>
  <si>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</si>
  <si>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</si>
  <si>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</si>
  <si>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</si>
  <si>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</si>
  <si>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</si>
  <si>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</si>
  <si>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</si>
  <si>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</si>
  <si>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</si>
  <si>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</si>
  <si>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</si>
  <si>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</si>
  <si>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</si>
  <si>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</si>
  <si>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</si>
  <si>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</si>
  <si>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</si>
  <si>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</si>
  <si>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</si>
  <si>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</si>
  <si>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</si>
  <si>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</si>
  <si>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</si>
  <si>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</si>
  <si>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</si>
  <si>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</si>
  <si>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</si>
  <si>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</si>
  <si>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</si>
  <si>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</si>
  <si>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</si>
  <si>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</si>
  <si>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</si>
  <si>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</si>
  <si>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</si>
  <si>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</si>
  <si>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</si>
  <si>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</si>
  <si>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</si>
  <si>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</si>
  <si>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</si>
  <si>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</si>
  <si>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</si>
  <si>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</si>
  <si>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</si>
  <si>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</si>
  <si>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</si>
  <si>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</si>
  <si>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</si>
  <si>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</si>
  <si>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</si>
  <si>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</si>
  <si>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</si>
  <si>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</si>
  <si>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</si>
  <si>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</si>
  <si>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</si>
  <si>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</si>
  <si>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</si>
  <si>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</si>
  <si>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</si>
  <si>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</si>
  <si>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</si>
  <si>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</si>
  <si>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</si>
  <si>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</si>
  <si>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</si>
  <si>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</si>
  <si>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</si>
  <si>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</si>
  <si>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</si>
  <si>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</si>
  <si>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</si>
  <si>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</si>
  <si>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</si>
  <si>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</si>
  <si>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</si>
  <si>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</si>
  <si>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</si>
  <si>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</si>
  <si>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</si>
  <si>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</si>
  <si>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</si>
  <si>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</si>
  <si>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</si>
  <si>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</si>
  <si>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</si>
  <si>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</si>
  <si>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</si>
  <si>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</si>
  <si>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</si>
  <si>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</si>
  <si>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</si>
  <si>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</si>
  <si>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</si>
  <si>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</si>
  <si>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</si>
  <si>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</si>
  <si>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</si>
  <si>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</si>
  <si>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</si>
  <si>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</si>
  <si>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</si>
  <si>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</si>
  <si>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</si>
  <si>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</si>
  <si>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</si>
  <si>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</si>
  <si>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</si>
  <si>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</si>
  <si>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</si>
  <si>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</si>
  <si>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</si>
  <si>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</si>
  <si>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</si>
  <si>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</si>
  <si>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</si>
  <si>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</si>
  <si>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</si>
  <si>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</si>
  <si>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</si>
  <si>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</si>
  <si>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</si>
  <si>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</si>
  <si>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</si>
  <si>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</si>
  <si>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</si>
  <si>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</si>
  <si>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</si>
  <si>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</si>
  <si>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</si>
  <si>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</si>
  <si>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</si>
  <si>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</si>
  <si>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</si>
  <si>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</si>
  <si>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</si>
  <si>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</si>
  <si>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</si>
  <si>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</si>
  <si>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</si>
  <si>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</si>
  <si>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</si>
  <si>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</si>
  <si>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</si>
  <si>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</si>
  <si>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</si>
  <si>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</si>
  <si>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</si>
  <si>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</si>
  <si>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</si>
  <si>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</si>
  <si>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</si>
  <si>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</si>
  <si>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</si>
  <si>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</si>
  <si>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</si>
  <si>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</si>
  <si>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</si>
  <si>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</si>
  <si>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</si>
  <si>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</si>
  <si>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</si>
  <si>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</si>
  <si>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</si>
  <si>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</si>
  <si>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</si>
  <si>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</si>
  <si>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</si>
  <si>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</si>
  <si>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</si>
  <si>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</si>
  <si>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</si>
  <si>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</si>
  <si>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</si>
  <si>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</si>
  <si>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</si>
  <si>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</si>
  <si>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</si>
  <si>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</si>
  <si>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</si>
  <si>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</si>
  <si>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</si>
  <si>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</si>
  <si>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</si>
  <si>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</si>
  <si>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</si>
  <si>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</si>
  <si>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</si>
  <si>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</si>
  <si>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</si>
  <si>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</si>
  <si>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</si>
  <si>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</si>
  <si>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</si>
  <si>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</si>
  <si>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</si>
  <si>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</si>
  <si>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</si>
  <si>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</si>
  <si>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</si>
  <si>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</si>
  <si>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</si>
  <si>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</si>
  <si>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</si>
  <si>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</si>
  <si>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</si>
  <si>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</si>
  <si>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</si>
  <si>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</si>
  <si>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</si>
  <si>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</si>
  <si>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</si>
  <si>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</si>
  <si>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</si>
  <si>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</si>
  <si>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</si>
  <si>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</si>
  <si>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</si>
  <si>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</si>
  <si>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</si>
  <si>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</si>
  <si>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</si>
  <si>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</si>
  <si>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</si>
  <si>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</si>
  <si>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</si>
  <si>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</si>
  <si>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</si>
  <si>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</si>
  <si>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</si>
  <si>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</si>
  <si>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</si>
  <si>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</si>
  <si>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</si>
  <si>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</si>
  <si>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</si>
  <si>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</si>
  <si>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</si>
  <si>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</si>
  <si>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</si>
  <si>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</si>
  <si>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</si>
  <si>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</si>
  <si>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</si>
  <si>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</si>
  <si>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</si>
  <si>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</si>
  <si>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</si>
  <si>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</si>
  <si>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</si>
  <si>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</si>
  <si>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</si>
  <si>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</si>
  <si>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</si>
  <si>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</si>
  <si>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</si>
  <si>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</si>
  <si>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</si>
  <si>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</si>
  <si>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</si>
  <si>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</si>
  <si>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</si>
  <si>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</si>
  <si>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</si>
  <si>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</si>
  <si>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</si>
  <si>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</si>
  <si>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</si>
  <si>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</si>
  <si>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</si>
  <si>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</si>
  <si>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</si>
  <si>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</si>
  <si>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</si>
  <si>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</si>
  <si>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</si>
  <si>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</si>
  <si>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</si>
  <si>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</si>
  <si>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</si>
  <si>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</si>
  <si>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</si>
  <si>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</si>
  <si>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</si>
  <si>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</si>
  <si>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</si>
  <si>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</si>
  <si>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</si>
  <si>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</si>
  <si>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</si>
  <si>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</si>
  <si>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</si>
  <si>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</si>
  <si>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</si>
  <si>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</si>
  <si>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</si>
  <si>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</si>
  <si>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</si>
  <si>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</si>
  <si>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</si>
  <si>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</si>
  <si>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</si>
  <si>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</si>
  <si>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</si>
  <si>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</si>
  <si>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</si>
  <si>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</si>
  <si>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</si>
  <si>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</si>
  <si>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</si>
  <si>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</si>
  <si>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</si>
  <si>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</si>
  <si>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</si>
  <si>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</si>
  <si>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</si>
  <si>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</si>
  <si>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</si>
  <si>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</si>
  <si>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</si>
  <si>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</si>
  <si>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</si>
  <si>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</si>
  <si>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</si>
  <si>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</si>
  <si>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</si>
  <si>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</si>
  <si>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</si>
  <si>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</si>
  <si>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</si>
  <si>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</si>
  <si>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</si>
  <si>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</si>
  <si>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</si>
  <si>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</si>
  <si>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</si>
  <si>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</si>
  <si>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</si>
  <si>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</si>
  <si>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</si>
  <si>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</si>
  <si>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</si>
  <si>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</si>
  <si>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</si>
  <si>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</si>
  <si>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</si>
  <si>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</si>
  <si>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</si>
  <si>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</si>
  <si>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</si>
  <si>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</si>
  <si>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</si>
  <si>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</si>
  <si>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</si>
  <si>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</si>
  <si>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</si>
  <si>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</si>
  <si>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</si>
  <si>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</si>
  <si>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</si>
  <si>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Расчет стоимости, 
классика AMG с ЭП</t>
  </si>
  <si>
    <t>Заглушка в трубу 29мм M</t>
  </si>
  <si>
    <t>Адаптер для привода Somfy Sonesse 30/Roll up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</si>
</sst>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;[Red]\-0.00000"/>
    <numFmt numFmtId="165" formatCode="0.000;[Red]\-0.000"/>
    <numFmt numFmtId="166" formatCode="0.0000;[Red]\-0.0000"/>
    <numFmt numFmtId="167" formatCode="0.000"/>
  </numFmts>
  <fonts count="39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195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0" fontId="5" fillId="0" borderId="0" xfId="0" applyFont="1" applyAlignment="1"/>
    <xf numFmtId="165" fontId="0" fillId="0" borderId="5" xfId="0" applyNumberFormat="1" applyBorder="1" applyAlignment="1">
      <alignment horizontal="right"/>
    </xf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7" fillId="3" borderId="5" xfId="0" applyNumberFormat="1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6" xfId="0" applyFill="1" applyBorder="1" applyAlignment="1"/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3" xfId="0" applyFill="1" applyBorder="1" applyAlignment="1">
      <alignment horizontal="left" vertical="center"/>
    </xf>
    <xf numFmtId="0" fontId="0" fillId="3" borderId="23" xfId="0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9" xfId="0" applyFill="1" applyBorder="1" applyAlignment="1"/>
    <xf numFmtId="0" fontId="0" fillId="0" borderId="22" xfId="0" applyFill="1" applyBorder="1" applyAlignment="1"/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32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32" xfId="0" applyFill="1" applyBorder="1" applyAlignment="1">
      <alignment horizontal="center"/>
    </xf>
    <xf numFmtId="0" fontId="0" fillId="6" borderId="1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0" fillId="3" borderId="6" xfId="0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3" borderId="32" xfId="0" applyFill="1" applyBorder="1" applyAlignment="1">
      <alignment horizontal="center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3" borderId="60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166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0" fillId="6" borderId="32" xfId="0" applyFill="1" applyBorder="1" applyAlignment="1">
      <alignment horizontal="center" vertical="center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6" borderId="49" xfId="0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6" borderId="22" xfId="0" applyFill="1" applyBorder="1" applyAlignment="1">
      <alignment horizontal="center" vertical="center"/>
    </xf>
    <xf numFmtId="0" fontId="0" fillId="4" borderId="7" xfId="0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0" borderId="17" xfId="0" applyFill="1" applyBorder="1" applyAlignment="1">
      <alignment horizontal="left" vertical="center"/>
    </xf>
    <xf numFmtId="0" fontId="0" fillId="3" borderId="22" xfId="0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0" borderId="12" xfId="0" applyBorder="1" applyAlignment="1">
      <alignment horizontal="center"/>
    </xf>
    <xf numFmtId="0" fontId="0" fillId="6" borderId="12" xfId="0" applyFill="1" applyBorder="1" applyAlignment="1">
      <alignment horizontal="center" vertical="center"/>
    </xf>
    <xf numFmtId="0" fontId="0" fillId="6" borderId="70" xfId="0" applyFill="1" applyBorder="1" applyAlignment="1">
      <alignment horizontal="center" vertical="center"/>
    </xf>
    <xf numFmtId="0" fontId="0" fillId="4" borderId="33" xfId="0" applyFill="1" applyBorder="1" applyAlignment="1">
      <alignment horizontal="left"/>
    </xf>
    <xf numFmtId="0" fontId="0" fillId="6" borderId="14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3" xfId="0" applyBorder="1" applyAlignment="1">
      <alignment horizont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0" borderId="39" xfId="0" applyFill="1" applyBorder="1" applyAlignment="1">
      <alignment horizontal="center"/>
    </xf>
    <xf numFmtId="0" fontId="0" fillId="4" borderId="8" xfId="0" applyFill="1" applyBorder="1" applyAlignment="1">
      <alignment horizontal="left" vertical="center"/>
    </xf>
    <xf numFmtId="0" fontId="0" fillId="6" borderId="6" xfId="0" applyFill="1" applyBorder="1" applyAlignment="1">
      <alignment horizontal="center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0" borderId="6" xfId="0" applyFill="1" applyBorder="1" applyAlignment="1">
      <alignment horizontal="center" vertical="center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0" fillId="0" borderId="30" xfId="0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2" fontId="6" fillId="0" borderId="5" xfId="0" applyNumberFormat="1" applyFont="1" applyFill="1" applyBorder="1" applyAlignment="1" applyProtection="1"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>
      <alignment horizontal="right" vertical="center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0" borderId="32" xfId="0" applyFill="1" applyBorder="1" applyAlignment="1">
      <alignment horizontal="right" vertical="center"/>
    </xf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54" xfId="0" applyFont="1" applyBorder="1" applyAlignment="1">
      <alignment wrapText="1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</cellXfs>
  <cellStyles count="2">
    <cellStyle name="Нейтральный" xfId="1" builtinId="28"/>
    <cellStyle name="Обычный" xfId="0" builtinId="0"/>
  </cellStyles>
  <dxfs count="483"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4DB393"/>
      <color rgb="FFD9EFD1"/>
      <color rgb="FFC9E8BE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1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3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G12" sqref="G12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936" t="s">
        <v>736</v>
      </c>
      <c r="B2" s="937"/>
      <c r="C2" s="937"/>
      <c r="D2" s="937"/>
    </row>
    <row r="3" spans="1:4">
      <c r="A3" s="871" t="s">
        <v>6</v>
      </c>
      <c r="B3" s="854">
        <v>0</v>
      </c>
      <c r="C3" s="938" t="s">
        <v>30</v>
      </c>
      <c r="D3" s="939"/>
    </row>
    <row r="4" spans="1:4">
      <c r="A4" s="886" t="s">
        <v>1</v>
      </c>
      <c r="B4" s="49">
        <v>0</v>
      </c>
      <c r="C4" s="931" t="s">
        <v>30</v>
      </c>
      <c r="D4" s="932"/>
    </row>
    <row r="5" spans="1:4">
      <c r="A5" s="886" t="s">
        <v>737</v>
      </c>
      <c r="B5" s="50">
        <v>0</v>
      </c>
      <c r="C5" s="931" t="s">
        <v>30</v>
      </c>
      <c r="D5" s="932"/>
    </row>
    <row r="6" spans="1:4">
      <c r="A6" s="886" t="s">
        <v>738</v>
      </c>
      <c r="B6" s="50">
        <v>0</v>
      </c>
      <c r="C6" s="933" t="s">
        <v>739</v>
      </c>
      <c r="D6" s="934"/>
    </row>
    <row r="7" spans="1:4">
      <c r="A7" s="886" t="s">
        <v>740</v>
      </c>
      <c r="B7" s="50">
        <v>0</v>
      </c>
      <c r="C7" s="929" t="s">
        <v>741</v>
      </c>
      <c r="D7" s="930"/>
    </row>
    <row r="8" spans="1:4">
      <c r="A8" s="886" t="s">
        <v>742</v>
      </c>
      <c r="B8" s="49">
        <v>0</v>
      </c>
      <c r="C8" s="931" t="s">
        <v>30</v>
      </c>
      <c r="D8" s="932"/>
    </row>
    <row r="9" spans="1:4">
      <c r="A9" s="886" t="s">
        <v>779</v>
      </c>
      <c r="B9" s="371">
        <v>0</v>
      </c>
      <c r="C9" s="846" t="s">
        <v>781</v>
      </c>
      <c r="D9" s="847" t="s">
        <v>780</v>
      </c>
    </row>
    <row r="10" spans="1:4" ht="12" customHeight="1">
      <c r="A10" s="886" t="s">
        <v>743</v>
      </c>
      <c r="B10" s="50">
        <v>0</v>
      </c>
      <c r="C10" s="933" t="s">
        <v>744</v>
      </c>
      <c r="D10" s="934"/>
    </row>
    <row r="11" spans="1:4" ht="33" customHeight="1">
      <c r="A11" s="887" t="s">
        <v>745</v>
      </c>
      <c r="B11" s="56">
        <v>0</v>
      </c>
      <c r="C11" s="935" t="s">
        <v>746</v>
      </c>
      <c r="D11" s="930"/>
    </row>
    <row r="12" spans="1:4">
      <c r="A12" s="886" t="s">
        <v>747</v>
      </c>
      <c r="B12" s="869">
        <v>0</v>
      </c>
      <c r="C12" s="929" t="s">
        <v>741</v>
      </c>
      <c r="D12" s="930"/>
    </row>
    <row r="13" spans="1:4">
      <c r="A13" s="888" t="s">
        <v>748</v>
      </c>
      <c r="B13" s="50">
        <v>0</v>
      </c>
      <c r="C13" s="929" t="s">
        <v>741</v>
      </c>
      <c r="D13" s="930"/>
    </row>
    <row r="14" spans="1:4" ht="12" thickBot="1">
      <c r="A14" s="888" t="s">
        <v>749</v>
      </c>
      <c r="B14" s="870">
        <v>0</v>
      </c>
      <c r="C14" s="920" t="s">
        <v>741</v>
      </c>
      <c r="D14" s="921"/>
    </row>
    <row r="15" spans="1:4">
      <c r="A15" s="871" t="s">
        <v>750</v>
      </c>
      <c r="B15" s="854">
        <f>CEILING(B3*12.5,1)</f>
        <v>0</v>
      </c>
      <c r="C15" s="922" t="s">
        <v>29</v>
      </c>
      <c r="D15" s="923"/>
    </row>
    <row r="16" spans="1:4" ht="12" thickBot="1">
      <c r="A16" s="872" t="s">
        <v>751</v>
      </c>
      <c r="B16" s="873">
        <f>IF(B3&lt;0.71,2,IF(B3&lt;1.41,3,IF(B3&lt;2.11,4,IF(B3&lt;2.81,5,IF(B3&lt;3.51,6,IF(B3&lt;4.21,7))))))</f>
        <v>2</v>
      </c>
      <c r="C16" s="924"/>
      <c r="D16" s="925"/>
    </row>
    <row r="17" spans="1:7" ht="12" thickBot="1"/>
    <row r="18" spans="1:7" ht="12.75">
      <c r="A18" s="874" t="s">
        <v>7</v>
      </c>
      <c r="B18" s="874" t="s">
        <v>0</v>
      </c>
      <c r="C18" s="875" t="s">
        <v>4</v>
      </c>
      <c r="D18" s="874" t="s">
        <v>8</v>
      </c>
    </row>
    <row r="19" spans="1:7" ht="12.75" customHeight="1">
      <c r="A19" s="877" t="s">
        <v>752</v>
      </c>
      <c r="B19" s="54">
        <f>IF(B6=1,B15,0)*B8</f>
        <v>0</v>
      </c>
      <c r="C19" s="878"/>
      <c r="D19" s="879">
        <f t="shared" ref="D19:D45" si="0">B19*C19</f>
        <v>0</v>
      </c>
    </row>
    <row r="20" spans="1:7">
      <c r="A20" s="879" t="s">
        <v>753</v>
      </c>
      <c r="B20" s="54">
        <f>IF(B6=1,B15,0)*B8</f>
        <v>0</v>
      </c>
      <c r="C20" s="878"/>
      <c r="D20" s="879">
        <f t="shared" si="0"/>
        <v>0</v>
      </c>
    </row>
    <row r="21" spans="1:7">
      <c r="A21" s="879" t="s">
        <v>754</v>
      </c>
      <c r="B21" s="54">
        <f>1*B8</f>
        <v>0</v>
      </c>
      <c r="C21" s="878"/>
      <c r="D21" s="879">
        <f t="shared" si="0"/>
        <v>0</v>
      </c>
    </row>
    <row r="22" spans="1:7" ht="12" customHeight="1">
      <c r="A22" s="877" t="s">
        <v>755</v>
      </c>
      <c r="B22" s="54">
        <f>IF(B11&gt;2,B15/2,IF(B11=2,B15,0))*B8</f>
        <v>0</v>
      </c>
      <c r="C22" s="878"/>
      <c r="D22" s="879">
        <f t="shared" si="0"/>
        <v>0</v>
      </c>
    </row>
    <row r="23" spans="1:7" ht="11.25" customHeight="1">
      <c r="A23" s="877" t="s">
        <v>756</v>
      </c>
      <c r="B23" s="54">
        <f>IF(B11&gt;2,B15/2,IF(B11=1,B15,0))*B8</f>
        <v>0</v>
      </c>
      <c r="C23" s="878"/>
      <c r="D23" s="879">
        <f t="shared" si="0"/>
        <v>0</v>
      </c>
    </row>
    <row r="24" spans="1:7" ht="11.25" customHeight="1">
      <c r="A24" s="877" t="s">
        <v>757</v>
      </c>
      <c r="B24" s="54">
        <f>IF(B12&lt;&gt;1,B16,0)*B8</f>
        <v>0</v>
      </c>
      <c r="C24" s="878"/>
      <c r="D24" s="879">
        <f t="shared" si="0"/>
        <v>0</v>
      </c>
    </row>
    <row r="25" spans="1:7">
      <c r="A25" s="879" t="s">
        <v>184</v>
      </c>
      <c r="B25" s="54">
        <f>IF(B12&lt;&gt;1,B16,0)*B8</f>
        <v>0</v>
      </c>
      <c r="C25" s="878"/>
      <c r="D25" s="879">
        <f t="shared" si="0"/>
        <v>0</v>
      </c>
    </row>
    <row r="26" spans="1:7">
      <c r="A26" s="879" t="s">
        <v>758</v>
      </c>
      <c r="B26" s="54">
        <f>IF(B12&lt;&gt;0,B16,0)*B8</f>
        <v>0</v>
      </c>
      <c r="C26" s="878"/>
      <c r="D26" s="879">
        <f t="shared" si="0"/>
        <v>0</v>
      </c>
    </row>
    <row r="27" spans="1:7">
      <c r="A27" s="879" t="s">
        <v>748</v>
      </c>
      <c r="B27" s="54">
        <f>IF(B13=0,0,B16)*B8</f>
        <v>0</v>
      </c>
      <c r="C27" s="878"/>
      <c r="D27" s="879">
        <f t="shared" si="0"/>
        <v>0</v>
      </c>
    </row>
    <row r="28" spans="1:7">
      <c r="A28" s="879" t="s">
        <v>759</v>
      </c>
      <c r="B28" s="54">
        <f>IF(B13=1,0,IF(B12=0,B16,0))*B8</f>
        <v>0</v>
      </c>
      <c r="C28" s="878"/>
      <c r="D28" s="879">
        <f t="shared" si="0"/>
        <v>0</v>
      </c>
      <c r="G28">
        <v>1</v>
      </c>
    </row>
    <row r="29" spans="1:7">
      <c r="A29" s="879" t="s">
        <v>760</v>
      </c>
      <c r="B29" s="54">
        <f>(B3-0.027)*B8</f>
        <v>0</v>
      </c>
      <c r="C29" s="878"/>
      <c r="D29" s="879">
        <f t="shared" si="0"/>
        <v>0</v>
      </c>
    </row>
    <row r="30" spans="1:7" ht="12" customHeight="1">
      <c r="A30" s="877" t="s">
        <v>761</v>
      </c>
      <c r="B30" s="54">
        <f>1*B8</f>
        <v>0</v>
      </c>
      <c r="C30" s="878"/>
      <c r="D30" s="879">
        <f t="shared" si="0"/>
        <v>0</v>
      </c>
    </row>
    <row r="31" spans="1:7">
      <c r="A31" s="879" t="s">
        <v>762</v>
      </c>
      <c r="B31" s="54">
        <f>(B3-0.04)*B8</f>
        <v>0</v>
      </c>
      <c r="C31" s="878"/>
      <c r="D31" s="879">
        <f t="shared" si="0"/>
        <v>0</v>
      </c>
    </row>
    <row r="32" spans="1:7">
      <c r="A32" s="879" t="s">
        <v>763</v>
      </c>
      <c r="B32" s="54">
        <f>IF(B11=3,1,0)*B8</f>
        <v>0</v>
      </c>
      <c r="C32" s="878"/>
      <c r="D32" s="879">
        <f t="shared" si="0"/>
        <v>0</v>
      </c>
    </row>
    <row r="33" spans="1:4">
      <c r="A33" s="879" t="s">
        <v>764</v>
      </c>
      <c r="B33" s="54">
        <f>IF(B11=1,1,0)*B8</f>
        <v>0</v>
      </c>
      <c r="C33" s="878"/>
      <c r="D33" s="879">
        <f t="shared" si="0"/>
        <v>0</v>
      </c>
    </row>
    <row r="34" spans="1:4">
      <c r="A34" s="879" t="s">
        <v>765</v>
      </c>
      <c r="B34" s="54">
        <f>3*B8</f>
        <v>0</v>
      </c>
      <c r="C34" s="878"/>
      <c r="D34" s="879">
        <f t="shared" si="0"/>
        <v>0</v>
      </c>
    </row>
    <row r="35" spans="1:4">
      <c r="A35" s="879" t="s">
        <v>766</v>
      </c>
      <c r="B35" s="54">
        <f>IF(B3&lt;1.2,0,IF(B11=1,1,0))*B8</f>
        <v>0</v>
      </c>
      <c r="C35" s="878"/>
      <c r="D35" s="879">
        <f t="shared" si="0"/>
        <v>0</v>
      </c>
    </row>
    <row r="36" spans="1:4">
      <c r="A36" s="879" t="s">
        <v>749</v>
      </c>
      <c r="B36" s="54">
        <f>IF(B14=1,B16,0)*B8</f>
        <v>0</v>
      </c>
      <c r="C36" s="878"/>
      <c r="D36" s="879">
        <f t="shared" si="0"/>
        <v>0</v>
      </c>
    </row>
    <row r="37" spans="1:4">
      <c r="A37" s="879" t="s">
        <v>767</v>
      </c>
      <c r="B37" s="54">
        <f>IF(B11=1,1,2)*B8</f>
        <v>0</v>
      </c>
      <c r="C37" s="878"/>
      <c r="D37" s="879">
        <f t="shared" si="0"/>
        <v>0</v>
      </c>
    </row>
    <row r="38" spans="1:4">
      <c r="A38" s="879" t="s">
        <v>768</v>
      </c>
      <c r="B38" s="54">
        <f>IF(B6=1,IF(B10=2,(B15+1)*2*0.105,0),0)*B8</f>
        <v>0</v>
      </c>
      <c r="C38" s="878"/>
      <c r="D38" s="879">
        <f t="shared" si="0"/>
        <v>0</v>
      </c>
    </row>
    <row r="39" spans="1:4">
      <c r="A39" s="879" t="s">
        <v>769</v>
      </c>
      <c r="B39" s="54">
        <f>IF(B6=1,IF(B10=1,(B15+1)*2*0.105,0),0)*B8</f>
        <v>0</v>
      </c>
      <c r="C39" s="878"/>
      <c r="D39" s="879">
        <f t="shared" si="0"/>
        <v>0</v>
      </c>
    </row>
    <row r="40" spans="1:4">
      <c r="A40" s="879" t="s">
        <v>770</v>
      </c>
      <c r="B40" s="54">
        <f>IF(B6=2,IF(B10=1,B3*1.3,0),0)*B8</f>
        <v>0</v>
      </c>
      <c r="C40" s="878"/>
      <c r="D40" s="879">
        <f t="shared" si="0"/>
        <v>0</v>
      </c>
    </row>
    <row r="41" spans="1:4">
      <c r="A41" s="879" t="s">
        <v>771</v>
      </c>
      <c r="B41" s="54">
        <f>IF(B6=2,IF(B10=2,B3*1.3,0),0)*B8</f>
        <v>0</v>
      </c>
      <c r="C41" s="878"/>
      <c r="D41" s="879">
        <f t="shared" si="0"/>
        <v>0</v>
      </c>
    </row>
    <row r="42" spans="1:4">
      <c r="A42" s="876" t="s">
        <v>778</v>
      </c>
      <c r="B42" s="49">
        <f>((B3*2)+0.3)*B8</f>
        <v>0</v>
      </c>
      <c r="C42" s="878"/>
      <c r="D42" s="879">
        <f t="shared" si="0"/>
        <v>0</v>
      </c>
    </row>
    <row r="43" spans="1:4">
      <c r="A43" s="876" t="s">
        <v>782</v>
      </c>
      <c r="B43" s="49">
        <f>B8</f>
        <v>0</v>
      </c>
      <c r="C43" s="878"/>
      <c r="D43" s="879">
        <f t="shared" si="0"/>
        <v>0</v>
      </c>
    </row>
    <row r="44" spans="1:4">
      <c r="A44" s="889" t="s">
        <v>783</v>
      </c>
      <c r="B44" s="890">
        <f>B8</f>
        <v>0</v>
      </c>
      <c r="C44" s="895"/>
      <c r="D44" s="879">
        <f t="shared" si="0"/>
        <v>0</v>
      </c>
    </row>
    <row r="45" spans="1:4" ht="12" thickBot="1">
      <c r="A45" s="880" t="s">
        <v>772</v>
      </c>
      <c r="B45" s="881">
        <f>B15*(B4+0.045)</f>
        <v>0</v>
      </c>
      <c r="C45" s="882">
        <v>50</v>
      </c>
      <c r="D45" s="880">
        <f t="shared" si="0"/>
        <v>0</v>
      </c>
    </row>
    <row r="46" spans="1:4" ht="12" thickBot="1">
      <c r="A46" s="891"/>
      <c r="B46" s="892"/>
      <c r="C46" s="893" t="s">
        <v>9</v>
      </c>
      <c r="D46" s="894">
        <f>SUM(D19:D45)</f>
        <v>0</v>
      </c>
    </row>
    <row r="47" spans="1:4" ht="12" thickBot="1">
      <c r="A47" s="926" t="s">
        <v>22</v>
      </c>
      <c r="B47" s="927"/>
      <c r="C47" s="927"/>
      <c r="D47" s="928"/>
    </row>
    <row r="48" spans="1:4">
      <c r="A48" s="883" t="s">
        <v>773</v>
      </c>
      <c r="B48" s="845">
        <f>IF(B7=1,(B3+0.01+0.03)*B8,0)</f>
        <v>0</v>
      </c>
      <c r="C48" s="57"/>
      <c r="D48" s="884"/>
    </row>
    <row r="49" spans="1:4">
      <c r="A49" s="58" t="s">
        <v>774</v>
      </c>
      <c r="B49" s="846">
        <f>IF(B3&lt;0.71,2,IF(B3&lt;1.41,3,IF(B3&lt;2.11,4,IF(B3&lt;2.81,5,IF(B3&lt;3.51,6,IF(B3&lt;4.21,7,8))))))*B8</f>
        <v>0</v>
      </c>
      <c r="C49" s="848"/>
      <c r="D49" s="849"/>
    </row>
    <row r="50" spans="1:4">
      <c r="A50" s="58" t="s">
        <v>775</v>
      </c>
      <c r="B50" s="846">
        <f>2*B8</f>
        <v>0</v>
      </c>
      <c r="C50" s="848"/>
      <c r="D50" s="849"/>
    </row>
    <row r="51" spans="1:4">
      <c r="A51" s="58" t="s">
        <v>776</v>
      </c>
      <c r="B51" s="846">
        <f>B15*B8</f>
        <v>0</v>
      </c>
      <c r="C51" s="848"/>
      <c r="D51" s="849"/>
    </row>
    <row r="52" spans="1:4" ht="12" thickBot="1">
      <c r="A52" s="885" t="s">
        <v>777</v>
      </c>
      <c r="B52" s="850">
        <f>B15*B8</f>
        <v>0</v>
      </c>
      <c r="C52" s="59"/>
      <c r="D52" s="4"/>
    </row>
  </sheetData>
  <sheetProtection algorithmName="SHA-512" hashValue="wRnAcAuGuLLBT8TOhdE66WXnY7lHuunVtRj4m5wOQJR0X2cEWFVn+luJnRrZnr6Kb6IPzM3gvOWd7tCPI3Ge0g==" saltValue="Puiowoof9A0iU/M2ywUZiA==" spinCount="100000" sheet="1" objects="1" scenarios="1"/>
  <mergeCells count="14">
    <mergeCell ref="A2:D2"/>
    <mergeCell ref="C3:D3"/>
    <mergeCell ref="C4:D4"/>
    <mergeCell ref="C5:D5"/>
    <mergeCell ref="C6:D6"/>
    <mergeCell ref="C14:D14"/>
    <mergeCell ref="C15:D16"/>
    <mergeCell ref="A47:D47"/>
    <mergeCell ref="C7:D7"/>
    <mergeCell ref="C8:D8"/>
    <mergeCell ref="C10:D10"/>
    <mergeCell ref="C11:D11"/>
    <mergeCell ref="C12:D12"/>
    <mergeCell ref="C13:D1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topLeftCell="A7" zoomScale="130" zoomScaleNormal="130" workbookViewId="0">
      <selection activeCell="A39" sqref="A3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40" t="s">
        <v>132</v>
      </c>
      <c r="B1" s="941"/>
      <c r="C1" s="941"/>
      <c r="D1" s="941"/>
      <c r="E1" s="342"/>
      <c r="F1" s="14"/>
    </row>
    <row r="2" spans="1:13" ht="14.25">
      <c r="A2" s="11" t="s">
        <v>3</v>
      </c>
      <c r="B2" s="15"/>
      <c r="C2" s="16"/>
      <c r="D2" s="16"/>
      <c r="E2" s="16"/>
      <c r="F2" s="17"/>
      <c r="H2" s="942" t="s">
        <v>122</v>
      </c>
      <c r="I2" s="943"/>
      <c r="J2" s="943"/>
      <c r="K2" s="943"/>
      <c r="L2" s="943"/>
      <c r="M2" s="944"/>
    </row>
    <row r="3" spans="1:13" ht="12" thickBot="1">
      <c r="A3" s="12" t="s">
        <v>10</v>
      </c>
      <c r="B3" s="18">
        <v>1.4</v>
      </c>
      <c r="C3" s="16"/>
      <c r="D3" s="16"/>
      <c r="E3" s="16"/>
      <c r="F3" s="17"/>
      <c r="H3" s="945"/>
      <c r="I3" s="946"/>
      <c r="J3" s="946"/>
      <c r="K3" s="946"/>
      <c r="L3" s="946"/>
      <c r="M3" s="947"/>
    </row>
    <row r="4" spans="1:13">
      <c r="A4" s="12" t="s">
        <v>1</v>
      </c>
      <c r="B4" s="18">
        <v>1</v>
      </c>
      <c r="C4" s="16"/>
      <c r="D4" s="16"/>
      <c r="E4" s="16"/>
      <c r="F4" s="17"/>
    </row>
    <row r="5" spans="1:13">
      <c r="A5" s="12" t="s">
        <v>2</v>
      </c>
      <c r="B5" s="18">
        <v>1</v>
      </c>
      <c r="C5" s="16"/>
      <c r="D5" s="16"/>
      <c r="E5" s="16"/>
      <c r="F5" s="17"/>
    </row>
    <row r="6" spans="1:13">
      <c r="A6" s="12" t="s">
        <v>130</v>
      </c>
      <c r="B6" s="18">
        <v>10</v>
      </c>
      <c r="C6" s="16"/>
      <c r="D6" s="16"/>
      <c r="E6" s="16"/>
      <c r="F6" s="17"/>
    </row>
    <row r="7" spans="1:13">
      <c r="A7" s="12" t="s">
        <v>575</v>
      </c>
      <c r="B7" s="18">
        <v>2</v>
      </c>
      <c r="C7" s="16"/>
      <c r="D7" s="16"/>
      <c r="E7" s="16"/>
      <c r="F7" s="17"/>
    </row>
    <row r="8" spans="1:13">
      <c r="A8" s="12" t="s">
        <v>578</v>
      </c>
      <c r="B8" s="18">
        <v>2</v>
      </c>
      <c r="C8" s="16"/>
      <c r="D8" s="16"/>
      <c r="E8" s="16"/>
      <c r="F8" s="17"/>
    </row>
    <row r="9" spans="1:13" ht="12" thickBot="1">
      <c r="A9" s="13" t="s">
        <v>99</v>
      </c>
      <c r="B9" s="19">
        <v>50</v>
      </c>
      <c r="C9" s="16"/>
      <c r="D9" s="16"/>
      <c r="E9" s="16"/>
      <c r="F9" s="17"/>
    </row>
    <row r="10" spans="1:13">
      <c r="A10" s="20"/>
      <c r="B10" s="21"/>
      <c r="C10" s="16"/>
      <c r="D10" s="16"/>
      <c r="E10" s="16"/>
      <c r="F10" s="17"/>
    </row>
    <row r="11" spans="1:13" ht="12" thickBot="1">
      <c r="A11" s="22" t="s">
        <v>11</v>
      </c>
      <c r="B11" s="23"/>
      <c r="C11" s="23"/>
      <c r="D11" s="23"/>
      <c r="E11" s="23"/>
      <c r="F11" s="17"/>
    </row>
    <row r="12" spans="1:13">
      <c r="A12" s="24"/>
      <c r="B12" s="25" t="s">
        <v>12</v>
      </c>
      <c r="C12" s="26" t="s">
        <v>4</v>
      </c>
      <c r="D12" s="26" t="s">
        <v>13</v>
      </c>
      <c r="E12" s="15"/>
      <c r="F12" s="17"/>
    </row>
    <row r="13" spans="1:13" ht="12.75" customHeight="1">
      <c r="A13" s="27" t="s">
        <v>104</v>
      </c>
      <c r="B13" s="28"/>
      <c r="C13" s="29"/>
      <c r="D13" s="145">
        <f>4*B5</f>
        <v>4</v>
      </c>
      <c r="E13" s="30">
        <f t="shared" ref="E13:E23" si="0">D13*C13</f>
        <v>0</v>
      </c>
      <c r="F13" s="17"/>
    </row>
    <row r="14" spans="1:13">
      <c r="A14" s="27" t="s">
        <v>230</v>
      </c>
      <c r="B14" s="28"/>
      <c r="C14" s="29"/>
      <c r="D14" s="145">
        <f>B5</f>
        <v>1</v>
      </c>
      <c r="E14" s="30">
        <f t="shared" si="0"/>
        <v>0</v>
      </c>
      <c r="F14" s="17"/>
    </row>
    <row r="15" spans="1:13">
      <c r="A15" s="27" t="s">
        <v>572</v>
      </c>
      <c r="B15" s="28"/>
      <c r="C15" s="29"/>
      <c r="D15" s="145">
        <f>(B3-0.002)*B5</f>
        <v>1.3979999999999999</v>
      </c>
      <c r="E15" s="30">
        <f t="shared" si="0"/>
        <v>0</v>
      </c>
      <c r="F15" s="17"/>
    </row>
    <row r="16" spans="1:13">
      <c r="A16" s="27" t="s">
        <v>14</v>
      </c>
      <c r="B16" s="28"/>
      <c r="C16" s="29"/>
      <c r="D16" s="145">
        <f>B3*B5</f>
        <v>1.4</v>
      </c>
      <c r="E16" s="30">
        <f t="shared" si="0"/>
        <v>0</v>
      </c>
      <c r="F16" s="17"/>
    </row>
    <row r="17" spans="1:6">
      <c r="A17" s="31" t="s">
        <v>15</v>
      </c>
      <c r="B17" s="32"/>
      <c r="C17" s="33"/>
      <c r="D17" s="145">
        <f>B5*2</f>
        <v>2</v>
      </c>
      <c r="E17" s="30">
        <f t="shared" si="0"/>
        <v>0</v>
      </c>
      <c r="F17" s="17"/>
    </row>
    <row r="18" spans="1:6">
      <c r="A18" s="27" t="s">
        <v>16</v>
      </c>
      <c r="B18" s="28"/>
      <c r="C18" s="29"/>
      <c r="D18" s="145">
        <f>(B4-0.04)*2*B5</f>
        <v>1.92</v>
      </c>
      <c r="E18" s="30">
        <f t="shared" si="0"/>
        <v>0</v>
      </c>
      <c r="F18" s="17"/>
    </row>
    <row r="19" spans="1:6">
      <c r="A19" s="27" t="s">
        <v>17</v>
      </c>
      <c r="B19" s="28"/>
      <c r="C19" s="29"/>
      <c r="D19" s="145">
        <f>(B3-0.015)*B5</f>
        <v>1.385</v>
      </c>
      <c r="E19" s="30">
        <f t="shared" si="0"/>
        <v>0</v>
      </c>
      <c r="F19" s="17"/>
    </row>
    <row r="20" spans="1:6">
      <c r="A20" s="27" t="s">
        <v>18</v>
      </c>
      <c r="B20" s="28"/>
      <c r="C20" s="29"/>
      <c r="D20" s="145">
        <f>B4*B5*2</f>
        <v>2</v>
      </c>
      <c r="E20" s="30">
        <f t="shared" si="0"/>
        <v>0</v>
      </c>
      <c r="F20" s="17"/>
    </row>
    <row r="21" spans="1:6">
      <c r="A21" s="27" t="s">
        <v>19</v>
      </c>
      <c r="B21" s="28"/>
      <c r="C21" s="34"/>
      <c r="D21" s="145">
        <f>B3*B5</f>
        <v>1.4</v>
      </c>
      <c r="E21" s="30">
        <f t="shared" si="0"/>
        <v>0</v>
      </c>
      <c r="F21" s="17"/>
    </row>
    <row r="22" spans="1:6">
      <c r="A22" s="27" t="s">
        <v>20</v>
      </c>
      <c r="B22" s="28"/>
      <c r="C22" s="34"/>
      <c r="D22" s="145">
        <f>B3*B5</f>
        <v>1.4</v>
      </c>
      <c r="E22" s="30">
        <f t="shared" si="0"/>
        <v>0</v>
      </c>
      <c r="F22" s="17"/>
    </row>
    <row r="23" spans="1:6">
      <c r="A23" s="27" t="s">
        <v>21</v>
      </c>
      <c r="B23" s="28"/>
      <c r="C23" s="29"/>
      <c r="D23" s="145">
        <f>B3*B5</f>
        <v>1.4</v>
      </c>
      <c r="E23" s="30">
        <f t="shared" si="0"/>
        <v>0</v>
      </c>
      <c r="F23" s="17"/>
    </row>
    <row r="24" spans="1:6">
      <c r="A24" s="27" t="s">
        <v>573</v>
      </c>
      <c r="B24" s="28"/>
      <c r="C24" s="29"/>
      <c r="D24" s="145">
        <f>B5</f>
        <v>1</v>
      </c>
      <c r="E24" s="30">
        <f>C24*D24</f>
        <v>0</v>
      </c>
      <c r="F24" s="17"/>
    </row>
    <row r="25" spans="1:6">
      <c r="A25" s="27" t="s">
        <v>577</v>
      </c>
      <c r="B25" s="28"/>
      <c r="C25" s="34"/>
      <c r="D25" s="145">
        <f>B8</f>
        <v>2</v>
      </c>
      <c r="E25" s="30">
        <f>D25*C25</f>
        <v>0</v>
      </c>
      <c r="F25" s="17"/>
    </row>
    <row r="26" spans="1:6">
      <c r="A26" s="27" t="s">
        <v>576</v>
      </c>
      <c r="B26" s="28"/>
      <c r="C26" s="34"/>
      <c r="D26" s="145">
        <f>B6</f>
        <v>10</v>
      </c>
      <c r="E26" s="30">
        <f>D26*C26</f>
        <v>0</v>
      </c>
      <c r="F26" s="17"/>
    </row>
    <row r="27" spans="1:6">
      <c r="A27" s="28" t="s">
        <v>574</v>
      </c>
      <c r="B27" s="343"/>
      <c r="C27" s="343"/>
      <c r="D27" s="343">
        <f>B7</f>
        <v>2</v>
      </c>
      <c r="E27" s="30">
        <f>D27*C27</f>
        <v>0</v>
      </c>
      <c r="F27" s="17"/>
    </row>
    <row r="28" spans="1:6">
      <c r="A28" s="20"/>
      <c r="B28" s="16"/>
      <c r="C28" s="16"/>
      <c r="D28" s="16"/>
      <c r="E28" s="40">
        <f>SUM(E13:E26)</f>
        <v>0</v>
      </c>
      <c r="F28" s="17"/>
    </row>
    <row r="29" spans="1:6">
      <c r="A29" s="20"/>
      <c r="B29" s="16"/>
      <c r="C29" s="16"/>
      <c r="D29" s="16"/>
      <c r="E29" s="16"/>
      <c r="F29" s="17"/>
    </row>
    <row r="30" spans="1:6" ht="12" thickBot="1">
      <c r="A30" s="22" t="s">
        <v>22</v>
      </c>
      <c r="B30" s="23"/>
      <c r="C30" s="23"/>
      <c r="D30" s="23"/>
      <c r="E30" s="16"/>
      <c r="F30" s="17"/>
    </row>
    <row r="31" spans="1:6">
      <c r="A31" s="41" t="s">
        <v>35</v>
      </c>
      <c r="B31" s="25"/>
      <c r="C31" s="25"/>
      <c r="D31" s="25"/>
      <c r="E31" s="15"/>
      <c r="F31" s="17"/>
    </row>
    <row r="32" spans="1:6">
      <c r="A32" s="27" t="s">
        <v>23</v>
      </c>
      <c r="B32" s="28"/>
      <c r="C32" s="29"/>
      <c r="D32" s="145">
        <f>B9</f>
        <v>50</v>
      </c>
      <c r="E32" s="30">
        <f>D32*C32</f>
        <v>0</v>
      </c>
      <c r="F32" s="17"/>
    </row>
    <row r="33" spans="1:6">
      <c r="A33" s="27" t="s">
        <v>24</v>
      </c>
      <c r="B33" s="28"/>
      <c r="C33" s="29"/>
      <c r="D33" s="145">
        <f>B3*B9</f>
        <v>70</v>
      </c>
      <c r="E33" s="30">
        <f>D33*C33</f>
        <v>0</v>
      </c>
      <c r="F33" s="17"/>
    </row>
    <row r="34" spans="1:6" ht="12" thickBot="1">
      <c r="A34" s="35" t="s">
        <v>25</v>
      </c>
      <c r="B34" s="36"/>
      <c r="C34" s="37"/>
      <c r="D34" s="38">
        <f>(B3+0.2)*B9</f>
        <v>80</v>
      </c>
      <c r="E34" s="39">
        <f>D34*C34</f>
        <v>0</v>
      </c>
      <c r="F34" s="17"/>
    </row>
    <row r="35" spans="1:6">
      <c r="A35" s="948" t="s">
        <v>26</v>
      </c>
      <c r="B35" s="949"/>
      <c r="C35" s="949"/>
      <c r="D35" s="950"/>
      <c r="E35" s="42">
        <f>SUM(E32:E34)+E28</f>
        <v>0</v>
      </c>
      <c r="F35" s="17"/>
    </row>
    <row r="36" spans="1:6">
      <c r="A36" s="45"/>
      <c r="B36" s="16"/>
      <c r="C36" s="16"/>
      <c r="D36" s="16"/>
      <c r="E36" s="40"/>
      <c r="F36" s="17"/>
    </row>
    <row r="37" spans="1:6" ht="15.75" thickBot="1">
      <c r="A37" s="46" t="s">
        <v>28</v>
      </c>
      <c r="B37" s="43"/>
      <c r="C37" s="43"/>
      <c r="D37" s="43"/>
      <c r="E37" s="43"/>
      <c r="F37" s="44"/>
    </row>
  </sheetData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A26" sqref="A26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940" t="s">
        <v>584</v>
      </c>
      <c r="B1" s="951"/>
      <c r="C1" s="951"/>
      <c r="D1" s="951"/>
      <c r="E1" s="952"/>
    </row>
    <row r="2" spans="1:12" ht="14.25">
      <c r="A2" s="11" t="s">
        <v>3</v>
      </c>
      <c r="B2" s="15"/>
      <c r="C2" s="16"/>
      <c r="D2" s="16"/>
      <c r="E2" s="17"/>
      <c r="G2" s="942" t="s">
        <v>122</v>
      </c>
      <c r="H2" s="943"/>
      <c r="I2" s="943"/>
      <c r="J2" s="943"/>
      <c r="K2" s="943"/>
      <c r="L2" s="944"/>
    </row>
    <row r="3" spans="1:12" ht="12" thickBot="1">
      <c r="A3" s="12" t="s">
        <v>10</v>
      </c>
      <c r="B3" s="18">
        <v>1.5</v>
      </c>
      <c r="C3" s="16"/>
      <c r="D3" s="16"/>
      <c r="E3" s="17"/>
      <c r="G3" s="945"/>
      <c r="H3" s="946"/>
      <c r="I3" s="946"/>
      <c r="J3" s="946"/>
      <c r="K3" s="946"/>
      <c r="L3" s="947"/>
    </row>
    <row r="4" spans="1:12" ht="12" thickBot="1">
      <c r="A4" s="124" t="s">
        <v>1</v>
      </c>
      <c r="B4" s="125">
        <v>1</v>
      </c>
      <c r="C4" s="16"/>
      <c r="D4" s="16"/>
      <c r="E4" s="17"/>
    </row>
    <row r="5" spans="1:12" ht="12" thickBot="1">
      <c r="A5" s="126" t="s">
        <v>123</v>
      </c>
      <c r="B5" s="121">
        <v>6</v>
      </c>
      <c r="C5" s="148"/>
      <c r="D5" s="16"/>
      <c r="E5" s="17"/>
    </row>
    <row r="6" spans="1:12">
      <c r="A6" s="127" t="s">
        <v>102</v>
      </c>
      <c r="B6" s="121">
        <v>1</v>
      </c>
      <c r="C6" s="16" t="s">
        <v>101</v>
      </c>
      <c r="D6" s="16"/>
      <c r="E6" s="17"/>
    </row>
    <row r="7" spans="1:12">
      <c r="A7" s="177" t="s">
        <v>578</v>
      </c>
      <c r="B7" s="176">
        <v>1</v>
      </c>
      <c r="C7" s="16"/>
      <c r="D7" s="16"/>
      <c r="E7" s="17"/>
    </row>
    <row r="8" spans="1:12">
      <c r="A8" s="12" t="s">
        <v>130</v>
      </c>
      <c r="B8" s="176">
        <v>1</v>
      </c>
      <c r="C8" s="16"/>
      <c r="D8" s="16"/>
      <c r="E8" s="17"/>
    </row>
    <row r="9" spans="1:12" ht="12" thickBot="1">
      <c r="A9" s="12" t="s">
        <v>575</v>
      </c>
      <c r="B9" s="149">
        <v>1</v>
      </c>
      <c r="C9" s="16"/>
      <c r="D9" s="16"/>
      <c r="E9" s="17"/>
    </row>
    <row r="10" spans="1:12" ht="12" thickBot="1">
      <c r="A10" s="13" t="s">
        <v>99</v>
      </c>
      <c r="B10" s="19">
        <v>5</v>
      </c>
      <c r="C10" s="16"/>
      <c r="D10" s="16"/>
      <c r="E10" s="17"/>
    </row>
    <row r="11" spans="1:12" ht="12" thickBot="1">
      <c r="A11" s="22" t="s">
        <v>131</v>
      </c>
      <c r="B11" s="23"/>
      <c r="C11" s="23"/>
      <c r="D11" s="23"/>
      <c r="E11" s="122"/>
    </row>
    <row r="12" spans="1:12">
      <c r="A12" s="24"/>
      <c r="B12" s="25" t="s">
        <v>12</v>
      </c>
      <c r="C12" s="26" t="s">
        <v>4</v>
      </c>
      <c r="D12" s="26" t="s">
        <v>13</v>
      </c>
      <c r="E12" s="15"/>
    </row>
    <row r="13" spans="1:12">
      <c r="A13" s="27" t="s">
        <v>230</v>
      </c>
      <c r="B13" s="28"/>
      <c r="C13" s="29"/>
      <c r="D13" s="107">
        <f>B5</f>
        <v>6</v>
      </c>
      <c r="E13" s="18">
        <f t="shared" ref="E13:E27" si="0">D13*C13</f>
        <v>0</v>
      </c>
    </row>
    <row r="14" spans="1:12">
      <c r="A14" s="123" t="s">
        <v>103</v>
      </c>
      <c r="B14" s="145"/>
      <c r="C14" s="107"/>
      <c r="D14" s="107">
        <f>B3*B5</f>
        <v>9</v>
      </c>
      <c r="E14" s="18">
        <f t="shared" si="0"/>
        <v>0</v>
      </c>
    </row>
    <row r="15" spans="1:12">
      <c r="A15" s="27" t="s">
        <v>14</v>
      </c>
      <c r="B15" s="28"/>
      <c r="C15" s="29"/>
      <c r="D15" s="107">
        <f>B3*B5</f>
        <v>9</v>
      </c>
      <c r="E15" s="18">
        <f t="shared" si="0"/>
        <v>0</v>
      </c>
    </row>
    <row r="16" spans="1:12">
      <c r="A16" s="27" t="s">
        <v>19</v>
      </c>
      <c r="B16" s="28" t="s">
        <v>100</v>
      </c>
      <c r="C16" s="34"/>
      <c r="D16" s="107">
        <f>B3*B5</f>
        <v>9</v>
      </c>
      <c r="E16" s="18">
        <f t="shared" si="0"/>
        <v>0</v>
      </c>
    </row>
    <row r="17" spans="1:6">
      <c r="A17" s="27" t="s">
        <v>18</v>
      </c>
      <c r="B17" s="28"/>
      <c r="C17" s="29"/>
      <c r="D17" s="107">
        <f>IF(B6=1,B3+2*B4+2*0.1,2*B4)*B5</f>
        <v>22.200000000000003</v>
      </c>
      <c r="E17" s="18">
        <f t="shared" si="0"/>
        <v>0</v>
      </c>
    </row>
    <row r="18" spans="1:6">
      <c r="A18" s="27" t="s">
        <v>572</v>
      </c>
      <c r="B18" s="28"/>
      <c r="C18" s="29"/>
      <c r="D18" s="107">
        <f>(B3-0.002)*B5</f>
        <v>8.9879999999999995</v>
      </c>
      <c r="E18" s="18">
        <f t="shared" si="0"/>
        <v>0</v>
      </c>
    </row>
    <row r="19" spans="1:6" ht="12.75" customHeight="1">
      <c r="A19" s="27" t="s">
        <v>104</v>
      </c>
      <c r="B19" s="28"/>
      <c r="C19" s="29"/>
      <c r="D19" s="107">
        <f>4*B5</f>
        <v>24</v>
      </c>
      <c r="E19" s="18">
        <f t="shared" si="0"/>
        <v>0</v>
      </c>
    </row>
    <row r="20" spans="1:6">
      <c r="A20" s="58" t="s">
        <v>105</v>
      </c>
      <c r="B20" s="343"/>
      <c r="C20" s="343"/>
      <c r="D20" s="344">
        <f>IF(B6=1,B3*B5,0)</f>
        <v>9</v>
      </c>
      <c r="E20" s="18">
        <f t="shared" si="0"/>
        <v>0</v>
      </c>
    </row>
    <row r="21" spans="1:6">
      <c r="A21" s="58" t="s">
        <v>106</v>
      </c>
      <c r="B21" s="343"/>
      <c r="C21" s="343"/>
      <c r="D21" s="344">
        <f>IF(B6=1,B5,0)</f>
        <v>6</v>
      </c>
      <c r="E21" s="18">
        <f t="shared" si="0"/>
        <v>0</v>
      </c>
    </row>
    <row r="22" spans="1:6">
      <c r="A22" s="58" t="s">
        <v>107</v>
      </c>
      <c r="B22" s="343"/>
      <c r="C22" s="343"/>
      <c r="D22" s="344">
        <f>(B4-0.04)*2*B5</f>
        <v>11.52</v>
      </c>
      <c r="E22" s="18">
        <f t="shared" si="0"/>
        <v>0</v>
      </c>
    </row>
    <row r="23" spans="1:6">
      <c r="A23" s="27" t="s">
        <v>20</v>
      </c>
      <c r="B23" s="28"/>
      <c r="C23" s="34"/>
      <c r="D23" s="107">
        <f>B3*B5</f>
        <v>9</v>
      </c>
      <c r="E23" s="18">
        <f t="shared" si="0"/>
        <v>0</v>
      </c>
    </row>
    <row r="24" spans="1:6">
      <c r="A24" s="27" t="s">
        <v>573</v>
      </c>
      <c r="B24" s="28"/>
      <c r="C24" s="34"/>
      <c r="D24" s="107">
        <f>B5</f>
        <v>6</v>
      </c>
      <c r="E24" s="18">
        <f t="shared" si="0"/>
        <v>0</v>
      </c>
    </row>
    <row r="25" spans="1:6">
      <c r="A25" s="27" t="s">
        <v>577</v>
      </c>
      <c r="B25" s="150"/>
      <c r="C25" s="151"/>
      <c r="D25" s="152">
        <f>B7</f>
        <v>1</v>
      </c>
      <c r="E25" s="18">
        <f t="shared" si="0"/>
        <v>0</v>
      </c>
    </row>
    <row r="26" spans="1:6">
      <c r="A26" s="27" t="s">
        <v>576</v>
      </c>
      <c r="B26" s="150"/>
      <c r="C26" s="151"/>
      <c r="D26" s="152">
        <f>B8</f>
        <v>1</v>
      </c>
      <c r="E26" s="18">
        <f t="shared" si="0"/>
        <v>0</v>
      </c>
    </row>
    <row r="27" spans="1:6" ht="12" thickBot="1">
      <c r="A27" s="28" t="s">
        <v>574</v>
      </c>
      <c r="B27" s="150"/>
      <c r="C27" s="151"/>
      <c r="D27" s="152">
        <f>B9</f>
        <v>1</v>
      </c>
      <c r="E27" s="18">
        <f t="shared" si="0"/>
        <v>0</v>
      </c>
    </row>
    <row r="28" spans="1:6" ht="12" thickBot="1">
      <c r="A28" s="953" t="s">
        <v>22</v>
      </c>
      <c r="B28" s="954"/>
      <c r="C28" s="954"/>
      <c r="D28" s="954"/>
      <c r="E28" s="955"/>
      <c r="F28" s="20"/>
    </row>
    <row r="29" spans="1:6">
      <c r="A29" s="956" t="s">
        <v>35</v>
      </c>
      <c r="B29" s="957"/>
      <c r="C29" s="957"/>
      <c r="D29" s="957"/>
      <c r="E29" s="958"/>
      <c r="F29" s="20"/>
    </row>
    <row r="30" spans="1:6" ht="12" thickBot="1">
      <c r="A30" s="35" t="s">
        <v>25</v>
      </c>
      <c r="B30" s="36">
        <v>50</v>
      </c>
      <c r="C30" s="37"/>
      <c r="D30" s="38">
        <f>B10*(B3+2*B4+2*0.1)</f>
        <v>18.5</v>
      </c>
      <c r="E30" s="155">
        <f>D30*C30</f>
        <v>0</v>
      </c>
      <c r="F30" s="20"/>
    </row>
    <row r="31" spans="1:6">
      <c r="D31" s="346" t="s">
        <v>116</v>
      </c>
      <c r="E31" s="128">
        <f>SUM(E13:E30)</f>
        <v>0</v>
      </c>
    </row>
    <row r="32" spans="1:6">
      <c r="D32" s="345"/>
    </row>
  </sheetData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zoomScale="130" zoomScaleNormal="130" workbookViewId="0">
      <selection activeCell="A26" sqref="A26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40" t="s">
        <v>580</v>
      </c>
      <c r="B1" s="941"/>
      <c r="C1" s="941"/>
      <c r="D1" s="941"/>
      <c r="E1" s="347"/>
      <c r="F1" s="14"/>
    </row>
    <row r="2" spans="1:13" ht="14.25">
      <c r="A2" s="11" t="s">
        <v>3</v>
      </c>
      <c r="B2" s="15"/>
      <c r="C2" s="16"/>
      <c r="D2" s="16"/>
      <c r="E2" s="16"/>
      <c r="F2" s="17"/>
      <c r="H2" s="942" t="s">
        <v>122</v>
      </c>
      <c r="I2" s="943"/>
      <c r="J2" s="943"/>
      <c r="K2" s="943"/>
      <c r="L2" s="943"/>
      <c r="M2" s="944"/>
    </row>
    <row r="3" spans="1:13" ht="12" thickBot="1">
      <c r="A3" s="12" t="s">
        <v>10</v>
      </c>
      <c r="B3" s="18">
        <v>1.4</v>
      </c>
      <c r="C3" s="16"/>
      <c r="D3" s="16"/>
      <c r="E3" s="16"/>
      <c r="F3" s="17"/>
      <c r="H3" s="945"/>
      <c r="I3" s="946"/>
      <c r="J3" s="946"/>
      <c r="K3" s="946"/>
      <c r="L3" s="946"/>
      <c r="M3" s="947"/>
    </row>
    <row r="4" spans="1:13">
      <c r="A4" s="12" t="s">
        <v>1</v>
      </c>
      <c r="B4" s="18">
        <v>1</v>
      </c>
      <c r="C4" s="16"/>
      <c r="D4" s="16"/>
      <c r="E4" s="16"/>
      <c r="F4" s="17"/>
    </row>
    <row r="5" spans="1:13">
      <c r="A5" s="12" t="s">
        <v>2</v>
      </c>
      <c r="B5" s="18">
        <v>1</v>
      </c>
      <c r="C5" s="16"/>
      <c r="D5" s="16"/>
      <c r="E5" s="16"/>
      <c r="F5" s="17"/>
    </row>
    <row r="6" spans="1:13">
      <c r="A6" s="12" t="s">
        <v>130</v>
      </c>
      <c r="B6" s="18">
        <v>10</v>
      </c>
      <c r="C6" s="16"/>
      <c r="D6" s="16"/>
      <c r="E6" s="16"/>
      <c r="F6" s="17"/>
    </row>
    <row r="7" spans="1:13">
      <c r="A7" s="12" t="s">
        <v>575</v>
      </c>
      <c r="B7" s="18">
        <v>2</v>
      </c>
      <c r="C7" s="16"/>
      <c r="D7" s="16"/>
      <c r="E7" s="16"/>
      <c r="F7" s="17"/>
    </row>
    <row r="8" spans="1:13">
      <c r="A8" s="12" t="s">
        <v>578</v>
      </c>
      <c r="B8" s="18">
        <v>2</v>
      </c>
      <c r="C8" s="16"/>
      <c r="D8" s="16"/>
      <c r="E8" s="16"/>
      <c r="F8" s="17"/>
    </row>
    <row r="9" spans="1:13" ht="12" thickBot="1">
      <c r="A9" s="13" t="s">
        <v>579</v>
      </c>
      <c r="B9" s="19">
        <v>50</v>
      </c>
      <c r="C9" s="16"/>
      <c r="D9" s="16"/>
      <c r="E9" s="16"/>
      <c r="F9" s="17"/>
    </row>
    <row r="10" spans="1:13">
      <c r="A10" s="20"/>
      <c r="B10" s="21"/>
      <c r="C10" s="16"/>
      <c r="D10" s="16"/>
      <c r="E10" s="16"/>
      <c r="F10" s="17"/>
    </row>
    <row r="11" spans="1:13" ht="12" thickBot="1">
      <c r="A11" s="22" t="s">
        <v>11</v>
      </c>
      <c r="B11" s="23"/>
      <c r="C11" s="23"/>
      <c r="D11" s="23"/>
      <c r="E11" s="23"/>
      <c r="F11" s="17"/>
    </row>
    <row r="12" spans="1:13">
      <c r="A12" s="24"/>
      <c r="B12" s="25" t="s">
        <v>12</v>
      </c>
      <c r="C12" s="26" t="s">
        <v>4</v>
      </c>
      <c r="D12" s="26" t="s">
        <v>13</v>
      </c>
      <c r="E12" s="15"/>
      <c r="F12" s="17"/>
    </row>
    <row r="13" spans="1:13" ht="12.75" customHeight="1">
      <c r="A13" s="27" t="s">
        <v>104</v>
      </c>
      <c r="B13" s="28"/>
      <c r="C13" s="29"/>
      <c r="D13" s="145">
        <f>4*B5</f>
        <v>4</v>
      </c>
      <c r="E13" s="30">
        <f t="shared" ref="E13:E25" si="0">D13*C13</f>
        <v>0</v>
      </c>
      <c r="F13" s="17"/>
    </row>
    <row r="14" spans="1:13">
      <c r="A14" s="27" t="s">
        <v>230</v>
      </c>
      <c r="B14" s="28"/>
      <c r="C14" s="29"/>
      <c r="D14" s="145">
        <f>B5</f>
        <v>1</v>
      </c>
      <c r="E14" s="30">
        <f t="shared" si="0"/>
        <v>0</v>
      </c>
      <c r="F14" s="17"/>
    </row>
    <row r="15" spans="1:13">
      <c r="A15" s="27" t="s">
        <v>572</v>
      </c>
      <c r="B15" s="28"/>
      <c r="C15" s="29"/>
      <c r="D15" s="145">
        <f>(B3-0.012)*B5</f>
        <v>1.3879999999999999</v>
      </c>
      <c r="E15" s="30">
        <f t="shared" si="0"/>
        <v>0</v>
      </c>
      <c r="F15" s="17"/>
    </row>
    <row r="16" spans="1:13">
      <c r="A16" s="27" t="s">
        <v>14</v>
      </c>
      <c r="B16" s="28"/>
      <c r="C16" s="29"/>
      <c r="D16" s="145">
        <f>(B3-0.01)*B5</f>
        <v>1.39</v>
      </c>
      <c r="E16" s="30">
        <f t="shared" si="0"/>
        <v>0</v>
      </c>
      <c r="F16" s="17"/>
    </row>
    <row r="17" spans="1:6">
      <c r="A17" s="27" t="s">
        <v>581</v>
      </c>
      <c r="B17" s="28"/>
      <c r="C17" s="29"/>
      <c r="D17" s="145">
        <f>B5</f>
        <v>1</v>
      </c>
      <c r="E17" s="30"/>
      <c r="F17" s="17"/>
    </row>
    <row r="18" spans="1:6">
      <c r="A18" s="27" t="s">
        <v>582</v>
      </c>
      <c r="B18" s="28"/>
      <c r="C18" s="29"/>
      <c r="D18" s="145">
        <f>D16</f>
        <v>1.39</v>
      </c>
      <c r="E18" s="30"/>
      <c r="F18" s="17"/>
    </row>
    <row r="19" spans="1:6">
      <c r="A19" s="27" t="s">
        <v>115</v>
      </c>
      <c r="B19" s="32"/>
      <c r="C19" s="33"/>
      <c r="D19" s="145">
        <f>B5*2</f>
        <v>2</v>
      </c>
      <c r="E19" s="30">
        <f t="shared" si="0"/>
        <v>0</v>
      </c>
      <c r="F19" s="17"/>
    </row>
    <row r="20" spans="1:6">
      <c r="A20" s="27" t="s">
        <v>27</v>
      </c>
      <c r="B20" s="28"/>
      <c r="C20" s="29"/>
      <c r="D20" s="145">
        <f>(B4-0.07)*2*B5</f>
        <v>1.8599999999999999</v>
      </c>
      <c r="E20" s="30">
        <f t="shared" si="0"/>
        <v>0</v>
      </c>
      <c r="F20" s="17"/>
    </row>
    <row r="21" spans="1:6">
      <c r="A21" s="27" t="s">
        <v>17</v>
      </c>
      <c r="B21" s="28"/>
      <c r="C21" s="29"/>
      <c r="D21" s="145">
        <f>(B3-0.017)*B5</f>
        <v>1.383</v>
      </c>
      <c r="E21" s="30">
        <f t="shared" si="0"/>
        <v>0</v>
      </c>
      <c r="F21" s="17"/>
    </row>
    <row r="22" spans="1:6">
      <c r="A22" s="27" t="s">
        <v>18</v>
      </c>
      <c r="B22" s="28"/>
      <c r="C22" s="29"/>
      <c r="D22" s="145">
        <f>(B4-0.07)*B5*2</f>
        <v>1.8599999999999999</v>
      </c>
      <c r="E22" s="30">
        <f t="shared" si="0"/>
        <v>0</v>
      </c>
      <c r="F22" s="17"/>
    </row>
    <row r="23" spans="1:6">
      <c r="A23" s="27" t="s">
        <v>19</v>
      </c>
      <c r="B23" s="28"/>
      <c r="C23" s="34"/>
      <c r="D23" s="145">
        <f>B3*B5</f>
        <v>1.4</v>
      </c>
      <c r="E23" s="30">
        <f t="shared" si="0"/>
        <v>0</v>
      </c>
      <c r="F23" s="17"/>
    </row>
    <row r="24" spans="1:6">
      <c r="A24" s="27" t="s">
        <v>20</v>
      </c>
      <c r="B24" s="28"/>
      <c r="C24" s="34"/>
      <c r="D24" s="145">
        <f>B3*B5</f>
        <v>1.4</v>
      </c>
      <c r="E24" s="30">
        <f t="shared" si="0"/>
        <v>0</v>
      </c>
      <c r="F24" s="17"/>
    </row>
    <row r="25" spans="1:6">
      <c r="A25" s="27" t="s">
        <v>21</v>
      </c>
      <c r="B25" s="28"/>
      <c r="C25" s="29"/>
      <c r="D25" s="145">
        <f>B3*B5</f>
        <v>1.4</v>
      </c>
      <c r="E25" s="30">
        <f t="shared" si="0"/>
        <v>0</v>
      </c>
      <c r="F25" s="17"/>
    </row>
    <row r="26" spans="1:6">
      <c r="A26" s="27" t="s">
        <v>573</v>
      </c>
      <c r="B26" s="28"/>
      <c r="C26" s="29"/>
      <c r="D26" s="145">
        <f>B5</f>
        <v>1</v>
      </c>
      <c r="E26" s="30">
        <f>C26*D26</f>
        <v>0</v>
      </c>
      <c r="F26" s="17"/>
    </row>
    <row r="27" spans="1:6">
      <c r="A27" s="27" t="s">
        <v>577</v>
      </c>
      <c r="B27" s="28"/>
      <c r="C27" s="34"/>
      <c r="D27" s="145">
        <f>B8</f>
        <v>2</v>
      </c>
      <c r="E27" s="30">
        <f>D27*C27</f>
        <v>0</v>
      </c>
      <c r="F27" s="17"/>
    </row>
    <row r="28" spans="1:6">
      <c r="A28" s="27" t="s">
        <v>576</v>
      </c>
      <c r="B28" s="28"/>
      <c r="C28" s="34"/>
      <c r="D28" s="145">
        <f>B6</f>
        <v>10</v>
      </c>
      <c r="E28" s="30">
        <f>D28*C28</f>
        <v>0</v>
      </c>
      <c r="F28" s="17"/>
    </row>
    <row r="29" spans="1:6">
      <c r="A29" s="28" t="s">
        <v>574</v>
      </c>
      <c r="B29" s="348"/>
      <c r="C29" s="348"/>
      <c r="D29" s="348">
        <f>B7</f>
        <v>2</v>
      </c>
      <c r="E29" s="30">
        <f>D29*C29</f>
        <v>0</v>
      </c>
      <c r="F29" s="17"/>
    </row>
    <row r="30" spans="1:6">
      <c r="A30" s="20"/>
      <c r="B30" s="16"/>
      <c r="C30" s="16"/>
      <c r="D30" s="16"/>
      <c r="E30" s="40">
        <f>SUM(E13:E28)</f>
        <v>0</v>
      </c>
      <c r="F30" s="17"/>
    </row>
    <row r="31" spans="1:6">
      <c r="A31" s="20"/>
      <c r="B31" s="16"/>
      <c r="C31" s="16"/>
      <c r="D31" s="16"/>
      <c r="E31" s="16"/>
      <c r="F31" s="17"/>
    </row>
    <row r="32" spans="1:6" ht="12" thickBot="1">
      <c r="A32" s="22" t="s">
        <v>22</v>
      </c>
      <c r="B32" s="23"/>
      <c r="C32" s="23"/>
      <c r="D32" s="23"/>
      <c r="E32" s="16"/>
      <c r="F32" s="17"/>
    </row>
    <row r="33" spans="1:6">
      <c r="A33" s="41" t="s">
        <v>35</v>
      </c>
      <c r="B33" s="25"/>
      <c r="C33" s="25"/>
      <c r="D33" s="25"/>
      <c r="E33" s="15"/>
      <c r="F33" s="17"/>
    </row>
    <row r="34" spans="1:6" ht="12" thickBot="1">
      <c r="A34" s="35" t="s">
        <v>25</v>
      </c>
      <c r="B34" s="36"/>
      <c r="C34" s="37"/>
      <c r="D34" s="38">
        <f>(B4-0.07)*2*B5</f>
        <v>1.8599999999999999</v>
      </c>
      <c r="E34" s="39">
        <f>D34*C34</f>
        <v>0</v>
      </c>
      <c r="F34" s="17"/>
    </row>
    <row r="35" spans="1:6">
      <c r="A35" s="948" t="s">
        <v>26</v>
      </c>
      <c r="B35" s="949"/>
      <c r="C35" s="949"/>
      <c r="D35" s="950"/>
      <c r="E35" s="42">
        <f>SUM(E34:E34)+E30</f>
        <v>0</v>
      </c>
      <c r="F35" s="17"/>
    </row>
    <row r="36" spans="1:6">
      <c r="A36" s="45"/>
      <c r="B36" s="16"/>
      <c r="C36" s="16"/>
      <c r="D36" s="16"/>
      <c r="E36" s="40"/>
      <c r="F36" s="17"/>
    </row>
    <row r="37" spans="1:6" ht="15.75" thickBot="1">
      <c r="A37" s="46" t="s">
        <v>28</v>
      </c>
      <c r="B37" s="43"/>
      <c r="C37" s="43"/>
      <c r="D37" s="43"/>
      <c r="E37" s="43"/>
      <c r="F37" s="44"/>
    </row>
  </sheetData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D16" sqref="D16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40" t="s">
        <v>583</v>
      </c>
      <c r="B1" s="941"/>
      <c r="C1" s="941"/>
      <c r="D1" s="941"/>
      <c r="E1" s="349"/>
      <c r="F1" s="14"/>
    </row>
    <row r="2" spans="1:13" ht="14.25">
      <c r="A2" s="11" t="s">
        <v>3</v>
      </c>
      <c r="B2" s="15"/>
      <c r="C2" s="16"/>
      <c r="D2" s="16"/>
      <c r="E2" s="16"/>
      <c r="F2" s="17"/>
      <c r="H2" s="942" t="s">
        <v>122</v>
      </c>
      <c r="I2" s="943"/>
      <c r="J2" s="943"/>
      <c r="K2" s="943"/>
      <c r="L2" s="943"/>
      <c r="M2" s="944"/>
    </row>
    <row r="3" spans="1:13" ht="12" thickBot="1">
      <c r="A3" s="12" t="s">
        <v>10</v>
      </c>
      <c r="B3" s="18">
        <v>1.4</v>
      </c>
      <c r="C3" s="16"/>
      <c r="D3" s="16"/>
      <c r="E3" s="16"/>
      <c r="F3" s="17"/>
      <c r="H3" s="945"/>
      <c r="I3" s="946"/>
      <c r="J3" s="946"/>
      <c r="K3" s="946"/>
      <c r="L3" s="946"/>
      <c r="M3" s="947"/>
    </row>
    <row r="4" spans="1:13">
      <c r="A4" s="12" t="s">
        <v>1</v>
      </c>
      <c r="B4" s="18">
        <v>1</v>
      </c>
      <c r="C4" s="16"/>
      <c r="D4" s="16"/>
      <c r="E4" s="16"/>
      <c r="F4" s="17"/>
    </row>
    <row r="5" spans="1:13">
      <c r="A5" s="12" t="s">
        <v>2</v>
      </c>
      <c r="B5" s="18">
        <v>1</v>
      </c>
      <c r="C5" s="16"/>
      <c r="D5" s="16"/>
      <c r="E5" s="16"/>
      <c r="F5" s="17"/>
    </row>
    <row r="6" spans="1:13">
      <c r="A6" s="12" t="s">
        <v>130</v>
      </c>
      <c r="B6" s="18">
        <v>10</v>
      </c>
      <c r="C6" s="16"/>
      <c r="D6" s="16"/>
      <c r="E6" s="16"/>
      <c r="F6" s="17"/>
    </row>
    <row r="7" spans="1:13">
      <c r="A7" s="12" t="s">
        <v>575</v>
      </c>
      <c r="B7" s="18">
        <v>2</v>
      </c>
      <c r="C7" s="16"/>
      <c r="D7" s="16"/>
      <c r="E7" s="16"/>
      <c r="F7" s="17"/>
    </row>
    <row r="8" spans="1:13">
      <c r="A8" s="12" t="s">
        <v>578</v>
      </c>
      <c r="B8" s="18">
        <v>2</v>
      </c>
      <c r="C8" s="16"/>
      <c r="D8" s="16"/>
      <c r="E8" s="16"/>
      <c r="F8" s="17"/>
    </row>
    <row r="9" spans="1:13" ht="12" thickBot="1">
      <c r="A9" s="13" t="s">
        <v>579</v>
      </c>
      <c r="B9" s="19">
        <v>50</v>
      </c>
      <c r="C9" s="16"/>
      <c r="D9" s="16"/>
      <c r="E9" s="16"/>
      <c r="F9" s="17"/>
    </row>
    <row r="10" spans="1:13">
      <c r="A10" s="20"/>
      <c r="B10" s="21"/>
      <c r="C10" s="16"/>
      <c r="D10" s="16"/>
      <c r="E10" s="16"/>
      <c r="F10" s="17"/>
    </row>
    <row r="11" spans="1:13" ht="12" thickBot="1">
      <c r="A11" s="22" t="s">
        <v>11</v>
      </c>
      <c r="B11" s="23"/>
      <c r="C11" s="23"/>
      <c r="D11" s="23"/>
      <c r="E11" s="23"/>
      <c r="F11" s="17"/>
    </row>
    <row r="12" spans="1:13">
      <c r="A12" s="24"/>
      <c r="B12" s="25" t="s">
        <v>12</v>
      </c>
      <c r="C12" s="26" t="s">
        <v>4</v>
      </c>
      <c r="D12" s="26" t="s">
        <v>13</v>
      </c>
      <c r="E12" s="15"/>
      <c r="F12" s="17"/>
    </row>
    <row r="13" spans="1:13" ht="12.75" customHeight="1">
      <c r="A13" s="27" t="s">
        <v>104</v>
      </c>
      <c r="B13" s="28"/>
      <c r="C13" s="29"/>
      <c r="D13" s="145">
        <f>4*B5</f>
        <v>4</v>
      </c>
      <c r="E13" s="30">
        <f t="shared" ref="E13:E24" si="0">D13*C13</f>
        <v>0</v>
      </c>
      <c r="F13" s="17"/>
    </row>
    <row r="14" spans="1:13">
      <c r="A14" s="27" t="s">
        <v>230</v>
      </c>
      <c r="B14" s="28"/>
      <c r="C14" s="29"/>
      <c r="D14" s="145">
        <f>B5</f>
        <v>1</v>
      </c>
      <c r="E14" s="30">
        <f t="shared" si="0"/>
        <v>0</v>
      </c>
      <c r="F14" s="17"/>
    </row>
    <row r="15" spans="1:13">
      <c r="A15" s="27" t="s">
        <v>572</v>
      </c>
      <c r="B15" s="28"/>
      <c r="C15" s="29"/>
      <c r="D15" s="145">
        <f>(B3-0.014)*B5</f>
        <v>1.3859999999999999</v>
      </c>
      <c r="E15" s="30">
        <f t="shared" si="0"/>
        <v>0</v>
      </c>
      <c r="F15" s="17"/>
    </row>
    <row r="16" spans="1:13">
      <c r="A16" s="27" t="s">
        <v>14</v>
      </c>
      <c r="B16" s="28"/>
      <c r="C16" s="29"/>
      <c r="D16" s="145">
        <f>(B3-0.01)*B5</f>
        <v>1.39</v>
      </c>
      <c r="E16" s="30">
        <f t="shared" si="0"/>
        <v>0</v>
      </c>
      <c r="F16" s="17"/>
    </row>
    <row r="17" spans="1:6">
      <c r="A17" s="27" t="s">
        <v>581</v>
      </c>
      <c r="B17" s="28"/>
      <c r="C17" s="29"/>
      <c r="D17" s="145">
        <f>B5</f>
        <v>1</v>
      </c>
      <c r="E17" s="30"/>
      <c r="F17" s="17"/>
    </row>
    <row r="18" spans="1:6">
      <c r="A18" s="27" t="s">
        <v>582</v>
      </c>
      <c r="B18" s="28"/>
      <c r="C18" s="29"/>
      <c r="D18" s="145">
        <f>D16</f>
        <v>1.39</v>
      </c>
      <c r="E18" s="30"/>
      <c r="F18" s="17"/>
    </row>
    <row r="19" spans="1:6">
      <c r="A19" s="27" t="s">
        <v>115</v>
      </c>
      <c r="B19" s="32"/>
      <c r="C19" s="33"/>
      <c r="D19" s="145">
        <f>B5*2</f>
        <v>2</v>
      </c>
      <c r="E19" s="30">
        <f t="shared" si="0"/>
        <v>0</v>
      </c>
      <c r="F19" s="17"/>
    </row>
    <row r="20" spans="1:6">
      <c r="A20" s="123" t="s">
        <v>103</v>
      </c>
      <c r="B20" s="32"/>
      <c r="C20" s="33"/>
      <c r="D20" s="145">
        <f>D15</f>
        <v>1.3859999999999999</v>
      </c>
      <c r="E20" s="30"/>
      <c r="F20" s="17"/>
    </row>
    <row r="21" spans="1:6">
      <c r="A21" s="27" t="s">
        <v>27</v>
      </c>
      <c r="B21" s="28"/>
      <c r="C21" s="29"/>
      <c r="D21" s="145">
        <f>(B4-0.07)*2*B5</f>
        <v>1.8599999999999999</v>
      </c>
      <c r="E21" s="30">
        <f t="shared" si="0"/>
        <v>0</v>
      </c>
      <c r="F21" s="17"/>
    </row>
    <row r="22" spans="1:6">
      <c r="A22" s="27" t="s">
        <v>18</v>
      </c>
      <c r="B22" s="28"/>
      <c r="C22" s="29"/>
      <c r="D22" s="145">
        <f>(B4-0.07)*B5*2</f>
        <v>1.8599999999999999</v>
      </c>
      <c r="E22" s="30">
        <f t="shared" si="0"/>
        <v>0</v>
      </c>
      <c r="F22" s="17"/>
    </row>
    <row r="23" spans="1:6">
      <c r="A23" s="27" t="s">
        <v>19</v>
      </c>
      <c r="B23" s="28"/>
      <c r="C23" s="34"/>
      <c r="D23" s="145">
        <f>B3*B5</f>
        <v>1.4</v>
      </c>
      <c r="E23" s="30">
        <f t="shared" si="0"/>
        <v>0</v>
      </c>
      <c r="F23" s="17"/>
    </row>
    <row r="24" spans="1:6">
      <c r="A24" s="27" t="s">
        <v>20</v>
      </c>
      <c r="B24" s="28"/>
      <c r="C24" s="34"/>
      <c r="D24" s="145">
        <f>B3*B5</f>
        <v>1.4</v>
      </c>
      <c r="E24" s="30">
        <f t="shared" si="0"/>
        <v>0</v>
      </c>
      <c r="F24" s="17"/>
    </row>
    <row r="25" spans="1:6">
      <c r="A25" s="27" t="s">
        <v>573</v>
      </c>
      <c r="B25" s="28"/>
      <c r="C25" s="29"/>
      <c r="D25" s="145">
        <f>B5</f>
        <v>1</v>
      </c>
      <c r="E25" s="30">
        <f>C25*D25</f>
        <v>0</v>
      </c>
      <c r="F25" s="17"/>
    </row>
    <row r="26" spans="1:6">
      <c r="A26" s="27" t="s">
        <v>577</v>
      </c>
      <c r="B26" s="28"/>
      <c r="C26" s="34"/>
      <c r="D26" s="145">
        <f>B8</f>
        <v>2</v>
      </c>
      <c r="E26" s="30">
        <f>D26*C26</f>
        <v>0</v>
      </c>
      <c r="F26" s="17"/>
    </row>
    <row r="27" spans="1:6">
      <c r="A27" s="27" t="s">
        <v>576</v>
      </c>
      <c r="B27" s="28"/>
      <c r="C27" s="34"/>
      <c r="D27" s="145">
        <f>B6</f>
        <v>10</v>
      </c>
      <c r="E27" s="30">
        <f>D27*C27</f>
        <v>0</v>
      </c>
      <c r="F27" s="17"/>
    </row>
    <row r="28" spans="1:6">
      <c r="A28" s="28" t="s">
        <v>574</v>
      </c>
      <c r="B28" s="350"/>
      <c r="C28" s="350"/>
      <c r="D28" s="350">
        <f>B7</f>
        <v>2</v>
      </c>
      <c r="E28" s="30">
        <f>D28*C28</f>
        <v>0</v>
      </c>
      <c r="F28" s="17"/>
    </row>
    <row r="29" spans="1:6">
      <c r="A29" s="20"/>
      <c r="B29" s="16"/>
      <c r="C29" s="16"/>
      <c r="D29" s="16"/>
      <c r="E29" s="40">
        <f>SUM(E13:E27)</f>
        <v>0</v>
      </c>
      <c r="F29" s="17"/>
    </row>
    <row r="30" spans="1:6">
      <c r="A30" s="20"/>
      <c r="B30" s="16"/>
      <c r="C30" s="16"/>
      <c r="D30" s="16"/>
      <c r="E30" s="16"/>
      <c r="F30" s="17"/>
    </row>
    <row r="31" spans="1:6" ht="12" thickBot="1">
      <c r="A31" s="22" t="s">
        <v>22</v>
      </c>
      <c r="B31" s="23"/>
      <c r="C31" s="23"/>
      <c r="D31" s="23"/>
      <c r="E31" s="16"/>
      <c r="F31" s="17"/>
    </row>
    <row r="32" spans="1:6">
      <c r="A32" s="41" t="s">
        <v>35</v>
      </c>
      <c r="B32" s="25"/>
      <c r="C32" s="25"/>
      <c r="D32" s="25"/>
      <c r="E32" s="15"/>
      <c r="F32" s="17"/>
    </row>
    <row r="33" spans="1:6" ht="12" thickBot="1">
      <c r="A33" s="35" t="s">
        <v>25</v>
      </c>
      <c r="B33" s="36"/>
      <c r="C33" s="37"/>
      <c r="D33" s="38">
        <f>(B4-0.07)*2*B5</f>
        <v>1.8599999999999999</v>
      </c>
      <c r="E33" s="39">
        <f>D33*C33</f>
        <v>0</v>
      </c>
      <c r="F33" s="17"/>
    </row>
    <row r="34" spans="1:6">
      <c r="A34" s="948" t="s">
        <v>26</v>
      </c>
      <c r="B34" s="949"/>
      <c r="C34" s="949"/>
      <c r="D34" s="950"/>
      <c r="E34" s="42">
        <f>SUM(E33:E33)+E29</f>
        <v>0</v>
      </c>
      <c r="F34" s="17"/>
    </row>
    <row r="35" spans="1:6">
      <c r="A35" s="45"/>
      <c r="B35" s="16"/>
      <c r="C35" s="16"/>
      <c r="D35" s="16"/>
      <c r="E35" s="40"/>
      <c r="F35" s="17"/>
    </row>
    <row r="36" spans="1:6" ht="15.75" thickBot="1">
      <c r="A36" s="46" t="s">
        <v>28</v>
      </c>
      <c r="B36" s="43"/>
      <c r="C36" s="43"/>
      <c r="D36" s="43"/>
      <c r="E36" s="43"/>
      <c r="F36" s="44"/>
    </row>
  </sheetData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A29" sqref="A29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936" t="s">
        <v>133</v>
      </c>
      <c r="B1" s="937"/>
      <c r="C1" s="937"/>
      <c r="D1" s="937"/>
      <c r="E1" s="959"/>
    </row>
    <row r="2" spans="1:12" ht="15" thickBot="1">
      <c r="A2" s="960" t="s">
        <v>3</v>
      </c>
      <c r="B2" s="961"/>
      <c r="C2" s="961"/>
      <c r="D2" s="961"/>
      <c r="E2" s="962"/>
    </row>
    <row r="3" spans="1:12">
      <c r="A3" s="51" t="s">
        <v>6</v>
      </c>
      <c r="B3" s="360">
        <v>0.6</v>
      </c>
      <c r="C3" s="963" t="s">
        <v>30</v>
      </c>
      <c r="D3" s="964"/>
      <c r="E3" s="939"/>
      <c r="G3" s="942" t="s">
        <v>122</v>
      </c>
      <c r="H3" s="943"/>
      <c r="I3" s="943"/>
      <c r="J3" s="943"/>
      <c r="K3" s="943"/>
      <c r="L3" s="944"/>
    </row>
    <row r="4" spans="1:12" ht="12" thickBot="1">
      <c r="A4" s="52" t="s">
        <v>1</v>
      </c>
      <c r="B4" s="371">
        <v>1.6</v>
      </c>
      <c r="C4" s="965" t="s">
        <v>30</v>
      </c>
      <c r="D4" s="966"/>
      <c r="E4" s="967"/>
      <c r="G4" s="945"/>
      <c r="H4" s="946"/>
      <c r="I4" s="946"/>
      <c r="J4" s="946"/>
      <c r="K4" s="946"/>
      <c r="L4" s="947"/>
    </row>
    <row r="5" spans="1:12">
      <c r="A5" s="52" t="s">
        <v>36</v>
      </c>
      <c r="B5" s="371">
        <v>2</v>
      </c>
      <c r="C5" s="968" t="s">
        <v>37</v>
      </c>
      <c r="D5" s="969"/>
      <c r="E5" s="970"/>
    </row>
    <row r="6" spans="1:12">
      <c r="A6" s="52" t="s">
        <v>31</v>
      </c>
      <c r="B6" s="372">
        <v>1</v>
      </c>
      <c r="C6" s="968" t="s">
        <v>33</v>
      </c>
      <c r="D6" s="982"/>
      <c r="E6" s="983"/>
    </row>
    <row r="7" spans="1:12" ht="12" customHeight="1">
      <c r="A7" s="52" t="s">
        <v>137</v>
      </c>
      <c r="B7" s="372">
        <v>3</v>
      </c>
      <c r="C7" s="979" t="s">
        <v>589</v>
      </c>
      <c r="D7" s="984"/>
      <c r="E7" s="985"/>
    </row>
    <row r="8" spans="1:12" ht="15" customHeight="1">
      <c r="A8" s="52" t="s">
        <v>38</v>
      </c>
      <c r="B8" s="372">
        <v>1</v>
      </c>
      <c r="C8" s="979" t="s">
        <v>590</v>
      </c>
      <c r="D8" s="980"/>
      <c r="E8" s="981"/>
    </row>
    <row r="9" spans="1:12" ht="12.75" customHeight="1">
      <c r="A9" s="55" t="s">
        <v>32</v>
      </c>
      <c r="B9" s="373">
        <v>1</v>
      </c>
      <c r="C9" s="977" t="s">
        <v>591</v>
      </c>
      <c r="D9" s="978"/>
      <c r="E9" s="930"/>
    </row>
    <row r="10" spans="1:12">
      <c r="A10" s="162" t="s">
        <v>53</v>
      </c>
      <c r="B10" s="373">
        <v>10</v>
      </c>
      <c r="C10" s="974" t="s">
        <v>30</v>
      </c>
      <c r="D10" s="975"/>
      <c r="E10" s="976"/>
    </row>
    <row r="11" spans="1:12">
      <c r="A11" s="178" t="s">
        <v>578</v>
      </c>
      <c r="B11" s="373">
        <v>1</v>
      </c>
      <c r="C11" s="974"/>
      <c r="D11" s="975"/>
      <c r="E11" s="976"/>
    </row>
    <row r="12" spans="1:12">
      <c r="A12" s="362" t="s">
        <v>575</v>
      </c>
      <c r="B12" s="373">
        <v>50</v>
      </c>
      <c r="C12" s="974"/>
      <c r="D12" s="975"/>
      <c r="E12" s="976"/>
    </row>
    <row r="13" spans="1:12" ht="12" thickBot="1">
      <c r="A13" s="370" t="s">
        <v>587</v>
      </c>
      <c r="B13" s="374">
        <v>0</v>
      </c>
      <c r="C13" s="971" t="s">
        <v>33</v>
      </c>
      <c r="D13" s="972"/>
      <c r="E13" s="973"/>
    </row>
    <row r="14" spans="1:12" s="369" customFormat="1" ht="12" thickBot="1">
      <c r="A14" s="364"/>
      <c r="B14" s="365"/>
      <c r="C14" s="366"/>
      <c r="D14" s="367"/>
      <c r="E14" s="368"/>
    </row>
    <row r="15" spans="1:12" ht="12.75">
      <c r="A15" s="64" t="s">
        <v>7</v>
      </c>
      <c r="B15" s="363" t="s">
        <v>85</v>
      </c>
      <c r="C15" s="118" t="s">
        <v>0</v>
      </c>
      <c r="D15" s="65" t="s">
        <v>4</v>
      </c>
      <c r="E15" s="66" t="s">
        <v>8</v>
      </c>
    </row>
    <row r="16" spans="1:12">
      <c r="A16" s="27" t="s">
        <v>585</v>
      </c>
      <c r="B16" s="47"/>
      <c r="C16" s="106">
        <f>(IF(B5=2,B3-0.031,B3+0.005))*B10</f>
        <v>5.6899999999999995</v>
      </c>
      <c r="D16" s="63"/>
      <c r="E16" s="67">
        <f t="shared" ref="E16:E33" si="0">C16*D16</f>
        <v>0</v>
      </c>
    </row>
    <row r="17" spans="1:5">
      <c r="A17" s="31" t="s">
        <v>52</v>
      </c>
      <c r="B17" s="47"/>
      <c r="C17" s="106">
        <f>2*B10</f>
        <v>20</v>
      </c>
      <c r="D17" s="63"/>
      <c r="E17" s="67">
        <f t="shared" si="0"/>
        <v>0</v>
      </c>
    </row>
    <row r="18" spans="1:5">
      <c r="A18" s="27" t="s">
        <v>51</v>
      </c>
      <c r="B18" s="47"/>
      <c r="C18" s="106">
        <f>(IF(B5=1,B3,B3-0.036))*B10</f>
        <v>5.64</v>
      </c>
      <c r="D18" s="63"/>
      <c r="E18" s="67">
        <f t="shared" si="0"/>
        <v>0</v>
      </c>
    </row>
    <row r="19" spans="1:5">
      <c r="A19" s="27" t="s">
        <v>50</v>
      </c>
      <c r="B19" s="47"/>
      <c r="C19" s="106">
        <f>C16</f>
        <v>5.6899999999999995</v>
      </c>
      <c r="D19" s="63"/>
      <c r="E19" s="67">
        <f t="shared" si="0"/>
        <v>0</v>
      </c>
    </row>
    <row r="20" spans="1:5">
      <c r="A20" s="27" t="s">
        <v>49</v>
      </c>
      <c r="B20" s="47"/>
      <c r="C20" s="106">
        <f>C18</f>
        <v>5.64</v>
      </c>
      <c r="D20" s="63"/>
      <c r="E20" s="67">
        <f t="shared" si="0"/>
        <v>0</v>
      </c>
    </row>
    <row r="21" spans="1:5">
      <c r="A21" s="27" t="s">
        <v>39</v>
      </c>
      <c r="B21" s="47"/>
      <c r="C21" s="106">
        <f>C18</f>
        <v>5.64</v>
      </c>
      <c r="D21" s="63"/>
      <c r="E21" s="67">
        <f t="shared" si="0"/>
        <v>0</v>
      </c>
    </row>
    <row r="22" spans="1:5">
      <c r="A22" s="119" t="s">
        <v>40</v>
      </c>
      <c r="B22" s="47"/>
      <c r="C22" s="106">
        <f>(IF(B6=1,B4*2+0.2,0))*B10</f>
        <v>34</v>
      </c>
      <c r="D22" s="63"/>
      <c r="E22" s="67">
        <f t="shared" si="0"/>
        <v>0</v>
      </c>
    </row>
    <row r="23" spans="1:5">
      <c r="A23" s="120" t="s">
        <v>41</v>
      </c>
      <c r="B23" s="47"/>
      <c r="C23" s="106">
        <f>(IF(B6=1,IF(B13=0,2,0))*B10)</f>
        <v>20</v>
      </c>
      <c r="D23" s="63"/>
      <c r="E23" s="67">
        <f t="shared" si="0"/>
        <v>0</v>
      </c>
    </row>
    <row r="24" spans="1:5">
      <c r="A24" s="120" t="s">
        <v>588</v>
      </c>
      <c r="B24" s="358"/>
      <c r="C24" s="359">
        <f>(IF(B13=1,IF(B6=1,2,0),0))*B10</f>
        <v>0</v>
      </c>
      <c r="D24" s="63"/>
      <c r="E24" s="67"/>
    </row>
    <row r="25" spans="1:5">
      <c r="A25" s="120" t="s">
        <v>42</v>
      </c>
      <c r="B25" s="47"/>
      <c r="C25" s="106">
        <f>(IF(B9=3,2,0))*B10</f>
        <v>0</v>
      </c>
      <c r="D25" s="63"/>
      <c r="E25" s="67">
        <f t="shared" si="0"/>
        <v>0</v>
      </c>
    </row>
    <row r="26" spans="1:5">
      <c r="A26" s="120" t="s">
        <v>43</v>
      </c>
      <c r="B26" s="47"/>
      <c r="C26" s="106">
        <f>(IF(B6=1,(IF(B7=1,2,0)),0))*B10</f>
        <v>0</v>
      </c>
      <c r="D26" s="63"/>
      <c r="E26" s="67">
        <f t="shared" si="0"/>
        <v>0</v>
      </c>
    </row>
    <row r="27" spans="1:5">
      <c r="A27" s="120" t="s">
        <v>164</v>
      </c>
      <c r="B27" s="153"/>
      <c r="C27" s="154">
        <f>(IF(B6=1,(IF(B7=2,2,0)),0))*B10</f>
        <v>0</v>
      </c>
      <c r="D27" s="63"/>
      <c r="E27" s="67">
        <f t="shared" si="0"/>
        <v>0</v>
      </c>
    </row>
    <row r="28" spans="1:5">
      <c r="A28" s="120" t="s">
        <v>136</v>
      </c>
      <c r="B28" s="358"/>
      <c r="C28" s="359">
        <f>(IF(B6=1,(IF(B7=3,2,0)),0))*B10</f>
        <v>20</v>
      </c>
      <c r="D28" s="63"/>
      <c r="E28" s="67"/>
    </row>
    <row r="29" spans="1:5">
      <c r="A29" s="120" t="s">
        <v>165</v>
      </c>
      <c r="B29" s="153"/>
      <c r="C29" s="154">
        <f>(IF(B6=1,(IF(B7=2,2,0)),0))*B10</f>
        <v>0</v>
      </c>
      <c r="D29" s="63"/>
      <c r="E29" s="67">
        <f t="shared" si="0"/>
        <v>0</v>
      </c>
    </row>
    <row r="30" spans="1:5">
      <c r="A30" s="120" t="s">
        <v>44</v>
      </c>
      <c r="B30" s="47"/>
      <c r="C30" s="106">
        <f>(IF(B9=2,2,0))*B10</f>
        <v>0</v>
      </c>
      <c r="D30" s="63"/>
      <c r="E30" s="67">
        <f t="shared" si="0"/>
        <v>0</v>
      </c>
    </row>
    <row r="31" spans="1:5">
      <c r="A31" s="120" t="s">
        <v>45</v>
      </c>
      <c r="B31" s="47"/>
      <c r="C31" s="106">
        <f>(IF(B9=2,2,0))*B10</f>
        <v>0</v>
      </c>
      <c r="D31" s="63"/>
      <c r="E31" s="67">
        <f t="shared" si="0"/>
        <v>0</v>
      </c>
    </row>
    <row r="32" spans="1:5">
      <c r="A32" s="120" t="s">
        <v>46</v>
      </c>
      <c r="B32" s="47"/>
      <c r="C32" s="106">
        <f>(IF(B8&gt;=1,IF(B7=0,2,0),0)*B10)</f>
        <v>0</v>
      </c>
      <c r="D32" s="63"/>
      <c r="E32" s="67">
        <f t="shared" si="0"/>
        <v>0</v>
      </c>
    </row>
    <row r="33" spans="1:5">
      <c r="A33" s="120" t="s">
        <v>47</v>
      </c>
      <c r="B33" s="47"/>
      <c r="C33" s="359">
        <f>IF(B8=2,IF(B7&gt;0,0,2),0)*B10</f>
        <v>0</v>
      </c>
      <c r="D33" s="63"/>
      <c r="E33" s="67">
        <f t="shared" si="0"/>
        <v>0</v>
      </c>
    </row>
    <row r="34" spans="1:5">
      <c r="A34" s="58" t="s">
        <v>48</v>
      </c>
      <c r="B34" s="146"/>
      <c r="C34" s="147">
        <f>(IF(B8=2,IF(B7=0,0.02,0),0)*B10)</f>
        <v>0</v>
      </c>
      <c r="D34" s="63"/>
      <c r="E34" s="67">
        <f>C34*D34</f>
        <v>0</v>
      </c>
    </row>
    <row r="35" spans="1:5">
      <c r="A35" s="58" t="s">
        <v>231</v>
      </c>
      <c r="B35" s="146"/>
      <c r="C35" s="147">
        <f>B10</f>
        <v>10</v>
      </c>
      <c r="D35" s="63"/>
      <c r="E35" s="67">
        <f>C35*D35</f>
        <v>0</v>
      </c>
    </row>
    <row r="36" spans="1:5">
      <c r="A36" s="27" t="s">
        <v>573</v>
      </c>
      <c r="B36" s="28"/>
      <c r="C36" s="159">
        <f>B10</f>
        <v>10</v>
      </c>
      <c r="D36" s="107"/>
      <c r="E36" s="165">
        <f>D36*C36</f>
        <v>0</v>
      </c>
    </row>
    <row r="37" spans="1:5">
      <c r="A37" s="156" t="s">
        <v>586</v>
      </c>
      <c r="B37" s="150"/>
      <c r="C37" s="160">
        <f>B11</f>
        <v>1</v>
      </c>
      <c r="D37" s="152"/>
      <c r="E37" s="166">
        <f>C37*D37</f>
        <v>0</v>
      </c>
    </row>
    <row r="38" spans="1:5" ht="12" thickBot="1">
      <c r="A38" s="27" t="s">
        <v>576</v>
      </c>
      <c r="B38" s="157"/>
      <c r="C38" s="161">
        <f>B12</f>
        <v>50</v>
      </c>
      <c r="D38" s="158"/>
      <c r="E38" s="167">
        <f>D38*C38</f>
        <v>0</v>
      </c>
    </row>
    <row r="39" spans="1:5">
      <c r="D39" s="3" t="s">
        <v>9</v>
      </c>
      <c r="E39" s="3">
        <f>SUM(E16:E38)</f>
        <v>0</v>
      </c>
    </row>
  </sheetData>
  <mergeCells count="14">
    <mergeCell ref="C13:E13"/>
    <mergeCell ref="G3:L4"/>
    <mergeCell ref="C12:E12"/>
    <mergeCell ref="C10:E10"/>
    <mergeCell ref="C9:E9"/>
    <mergeCell ref="C8:E8"/>
    <mergeCell ref="C6:E6"/>
    <mergeCell ref="C7:E7"/>
    <mergeCell ref="C11:E11"/>
    <mergeCell ref="A1:E1"/>
    <mergeCell ref="A2:E2"/>
    <mergeCell ref="C3:E3"/>
    <mergeCell ref="C4:E4"/>
    <mergeCell ref="C5:E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D54" sqref="D54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940" t="s">
        <v>702</v>
      </c>
      <c r="B1" s="941"/>
      <c r="C1" s="941"/>
      <c r="D1" s="941"/>
      <c r="E1" s="802"/>
      <c r="F1" s="86"/>
    </row>
    <row r="2" spans="1:9">
      <c r="A2" s="993" t="s">
        <v>10</v>
      </c>
      <c r="B2" s="994"/>
      <c r="C2" s="994"/>
      <c r="D2" s="804"/>
    </row>
    <row r="3" spans="1:9">
      <c r="A3" s="991" t="s">
        <v>1</v>
      </c>
      <c r="B3" s="992"/>
      <c r="C3" s="992"/>
      <c r="D3" s="805"/>
    </row>
    <row r="4" spans="1:9">
      <c r="A4" s="991" t="s">
        <v>2</v>
      </c>
      <c r="B4" s="992"/>
      <c r="C4" s="992"/>
      <c r="D4" s="806"/>
    </row>
    <row r="5" spans="1:9">
      <c r="A5" s="991" t="s">
        <v>703</v>
      </c>
      <c r="B5" s="992"/>
      <c r="C5" s="992"/>
      <c r="D5" s="806"/>
      <c r="I5" s="803"/>
    </row>
    <row r="6" spans="1:9">
      <c r="A6" s="986" t="s">
        <v>575</v>
      </c>
      <c r="B6" s="987"/>
      <c r="C6" s="988"/>
      <c r="D6" s="806"/>
      <c r="I6" s="803"/>
    </row>
    <row r="7" spans="1:9">
      <c r="A7" s="991" t="s">
        <v>130</v>
      </c>
      <c r="B7" s="992"/>
      <c r="C7" s="992"/>
      <c r="D7" s="829"/>
      <c r="I7" s="803"/>
    </row>
    <row r="8" spans="1:9" ht="12" thickBot="1">
      <c r="A8" s="989" t="s">
        <v>578</v>
      </c>
      <c r="B8" s="990"/>
      <c r="C8" s="990"/>
      <c r="D8" s="807"/>
      <c r="I8" s="803"/>
    </row>
    <row r="9" spans="1:9">
      <c r="A9" s="20"/>
      <c r="B9" s="21"/>
      <c r="C9" s="16"/>
      <c r="D9" s="16"/>
      <c r="E9" s="16"/>
      <c r="F9" s="86"/>
      <c r="I9" s="803" t="s">
        <v>716</v>
      </c>
    </row>
    <row r="10" spans="1:9" ht="12" thickBot="1">
      <c r="A10" s="22" t="s">
        <v>11</v>
      </c>
      <c r="B10" s="23"/>
      <c r="C10" s="23"/>
      <c r="D10" s="23"/>
      <c r="E10" s="16"/>
      <c r="F10" s="86"/>
      <c r="I10" s="803" t="s">
        <v>717</v>
      </c>
    </row>
    <row r="11" spans="1:9">
      <c r="A11" s="24"/>
      <c r="B11" s="26" t="s">
        <v>4</v>
      </c>
      <c r="C11" s="26" t="s">
        <v>13</v>
      </c>
      <c r="D11" s="808" t="s">
        <v>8</v>
      </c>
      <c r="F11" s="86"/>
    </row>
    <row r="12" spans="1:9">
      <c r="A12" s="809" t="s">
        <v>104</v>
      </c>
      <c r="B12" s="810"/>
      <c r="C12" s="145">
        <f>4*D4</f>
        <v>0</v>
      </c>
      <c r="D12" s="30">
        <f>C12*B12</f>
        <v>0</v>
      </c>
      <c r="F12" s="86"/>
    </row>
    <row r="13" spans="1:9">
      <c r="A13" s="809" t="s">
        <v>709</v>
      </c>
      <c r="B13" s="812"/>
      <c r="C13" s="813">
        <f>D4</f>
        <v>0</v>
      </c>
      <c r="D13" s="30">
        <f>C13*B13</f>
        <v>0</v>
      </c>
      <c r="F13" s="86"/>
    </row>
    <row r="14" spans="1:9">
      <c r="A14" s="819" t="s">
        <v>718</v>
      </c>
      <c r="B14" s="810"/>
      <c r="C14" s="145">
        <f>D4</f>
        <v>0</v>
      </c>
      <c r="D14" s="30">
        <f t="shared" ref="D14:D27" si="0">C14*B14</f>
        <v>0</v>
      </c>
      <c r="F14" s="86"/>
    </row>
    <row r="15" spans="1:9">
      <c r="A15" s="809" t="s">
        <v>704</v>
      </c>
      <c r="B15" s="810"/>
      <c r="C15" s="145">
        <f>IF(D2&gt;0,(D2-0.016)*D4,0)</f>
        <v>0</v>
      </c>
      <c r="D15" s="30">
        <f t="shared" si="0"/>
        <v>0</v>
      </c>
      <c r="F15" s="826"/>
    </row>
    <row r="16" spans="1:9">
      <c r="A16" s="809" t="s">
        <v>705</v>
      </c>
      <c r="B16" s="810"/>
      <c r="C16" s="814">
        <f>IF(D2&gt;0,(D2-0.02)*D4,0)</f>
        <v>0</v>
      </c>
      <c r="D16" s="30">
        <f t="shared" si="0"/>
        <v>0</v>
      </c>
      <c r="F16" s="86"/>
    </row>
    <row r="17" spans="1:6">
      <c r="A17" s="811" t="s">
        <v>15</v>
      </c>
      <c r="B17" s="812"/>
      <c r="C17" s="145">
        <f>D4*2</f>
        <v>0</v>
      </c>
      <c r="D17" s="30">
        <f t="shared" si="0"/>
        <v>0</v>
      </c>
      <c r="F17" s="86"/>
    </row>
    <row r="18" spans="1:6">
      <c r="A18" s="809" t="s">
        <v>706</v>
      </c>
      <c r="B18" s="810"/>
      <c r="C18" s="145">
        <f>IF(D3&gt;0,(D3-0.035)*2*D4,0)</f>
        <v>0</v>
      </c>
      <c r="D18" s="30">
        <f t="shared" si="0"/>
        <v>0</v>
      </c>
      <c r="F18" s="86"/>
    </row>
    <row r="19" spans="1:6">
      <c r="A19" s="809" t="s">
        <v>707</v>
      </c>
      <c r="B19" s="810"/>
      <c r="C19" s="145">
        <f>IF(D2&gt;0,(D2-0.022)*D4,0)</f>
        <v>0</v>
      </c>
      <c r="D19" s="30">
        <f t="shared" si="0"/>
        <v>0</v>
      </c>
      <c r="F19" s="86"/>
    </row>
    <row r="20" spans="1:6">
      <c r="A20" s="809" t="s">
        <v>18</v>
      </c>
      <c r="B20" s="810"/>
      <c r="C20" s="145">
        <f>IF(D3&gt;0,(D3-0.035)*2*D4,0)</f>
        <v>0</v>
      </c>
      <c r="D20" s="30">
        <f t="shared" si="0"/>
        <v>0</v>
      </c>
      <c r="F20" s="86"/>
    </row>
    <row r="21" spans="1:6">
      <c r="A21" s="809" t="s">
        <v>19</v>
      </c>
      <c r="B21" s="815"/>
      <c r="C21" s="145">
        <f>IF(D2&gt;0,(D2-0.016)*D4,0)</f>
        <v>0</v>
      </c>
      <c r="D21" s="30">
        <f t="shared" si="0"/>
        <v>0</v>
      </c>
      <c r="F21" s="86"/>
    </row>
    <row r="22" spans="1:6">
      <c r="A22" s="809" t="s">
        <v>20</v>
      </c>
      <c r="B22" s="815"/>
      <c r="C22" s="145">
        <f>IF(D2&gt;0,(D2-0.022)*D4,0)</f>
        <v>0</v>
      </c>
      <c r="D22" s="30">
        <f t="shared" si="0"/>
        <v>0</v>
      </c>
      <c r="F22" s="86"/>
    </row>
    <row r="23" spans="1:6">
      <c r="A23" s="809" t="s">
        <v>708</v>
      </c>
      <c r="B23" s="810"/>
      <c r="C23" s="145">
        <f>IF(D2&gt;0,(D2-0.022)*D4,0)</f>
        <v>0</v>
      </c>
      <c r="D23" s="30">
        <f t="shared" si="0"/>
        <v>0</v>
      </c>
      <c r="F23" s="86"/>
    </row>
    <row r="24" spans="1:6">
      <c r="A24" s="809" t="s">
        <v>573</v>
      </c>
      <c r="B24" s="816"/>
      <c r="C24" s="817">
        <f>D4</f>
        <v>0</v>
      </c>
      <c r="D24" s="818">
        <f t="shared" si="0"/>
        <v>0</v>
      </c>
      <c r="F24" s="86"/>
    </row>
    <row r="25" spans="1:6">
      <c r="A25" s="809" t="s">
        <v>577</v>
      </c>
      <c r="B25" s="816"/>
      <c r="C25" s="817">
        <f>D8</f>
        <v>0</v>
      </c>
      <c r="D25" s="818">
        <f t="shared" si="0"/>
        <v>0</v>
      </c>
      <c r="F25" s="86"/>
    </row>
    <row r="26" spans="1:6">
      <c r="A26" s="809" t="s">
        <v>576</v>
      </c>
      <c r="B26" s="816"/>
      <c r="C26" s="817">
        <f>D7</f>
        <v>0</v>
      </c>
      <c r="D26" s="818">
        <f t="shared" si="0"/>
        <v>0</v>
      </c>
      <c r="F26" s="86"/>
    </row>
    <row r="27" spans="1:6" ht="12" thickBot="1">
      <c r="A27" s="821" t="s">
        <v>574</v>
      </c>
      <c r="B27" s="822"/>
      <c r="C27" s="38">
        <f>D6</f>
        <v>0</v>
      </c>
      <c r="D27" s="39">
        <f t="shared" si="0"/>
        <v>0</v>
      </c>
      <c r="F27" s="86"/>
    </row>
    <row r="28" spans="1:6" ht="12" thickBot="1">
      <c r="A28" s="823" t="s">
        <v>710</v>
      </c>
      <c r="B28" s="16"/>
      <c r="C28" s="16"/>
      <c r="D28" s="827">
        <f>SUM(D12:D27)</f>
        <v>0</v>
      </c>
      <c r="E28" s="16"/>
      <c r="F28" s="86"/>
    </row>
    <row r="29" spans="1:6" ht="12" thickBot="1">
      <c r="A29" s="20"/>
      <c r="B29" s="16"/>
      <c r="C29" s="16"/>
      <c r="D29" s="16"/>
      <c r="E29" s="16"/>
      <c r="F29" s="86"/>
    </row>
    <row r="30" spans="1:6">
      <c r="A30" s="41" t="s">
        <v>35</v>
      </c>
      <c r="B30" s="25"/>
      <c r="C30" s="25"/>
      <c r="D30" s="121"/>
      <c r="F30" s="86"/>
    </row>
    <row r="31" spans="1:6">
      <c r="A31" s="809" t="s">
        <v>711</v>
      </c>
      <c r="B31" s="810"/>
      <c r="C31" s="145">
        <f>IF(D5="Нет",D4,0)</f>
        <v>0</v>
      </c>
      <c r="D31" s="30">
        <f t="shared" ref="D31:D33" si="1">C31*B31</f>
        <v>0</v>
      </c>
      <c r="F31" s="86"/>
    </row>
    <row r="32" spans="1:6">
      <c r="A32" s="809" t="s">
        <v>712</v>
      </c>
      <c r="B32" s="810"/>
      <c r="C32" s="814">
        <f>IF(AND(D5="Нет",D2&gt;0),D4*(D2-0.02),0)</f>
        <v>0</v>
      </c>
      <c r="D32" s="30">
        <f t="shared" si="1"/>
        <v>0</v>
      </c>
      <c r="F32" s="86"/>
    </row>
    <row r="33" spans="1:6" ht="12" thickBot="1">
      <c r="A33" s="821" t="s">
        <v>25</v>
      </c>
      <c r="B33" s="822"/>
      <c r="C33" s="825">
        <f>IF(AND(D2&gt;0,D5="Нет"),((D2-0.02)+0.1)*D4,0)</f>
        <v>0</v>
      </c>
      <c r="D33" s="39">
        <f t="shared" si="1"/>
        <v>0</v>
      </c>
      <c r="F33" s="86"/>
    </row>
    <row r="34" spans="1:6" ht="12" thickBot="1">
      <c r="A34" s="823" t="s">
        <v>710</v>
      </c>
      <c r="B34" s="16"/>
      <c r="C34" s="16"/>
      <c r="D34" s="824">
        <f>SUM(D31:D33)</f>
        <v>0</v>
      </c>
      <c r="E34" s="16"/>
      <c r="F34" s="86"/>
    </row>
    <row r="35" spans="1:6">
      <c r="A35" s="45"/>
      <c r="B35" s="16"/>
      <c r="C35" s="16"/>
      <c r="D35" s="16"/>
      <c r="E35" s="16"/>
      <c r="F35" s="86"/>
    </row>
    <row r="36" spans="1:6">
      <c r="A36" s="22" t="s">
        <v>713</v>
      </c>
      <c r="B36" s="16"/>
      <c r="C36" s="16"/>
      <c r="D36" s="16"/>
      <c r="E36" s="16"/>
      <c r="F36" s="86"/>
    </row>
    <row r="37" spans="1:6" ht="12" thickBot="1">
      <c r="A37" s="22"/>
      <c r="B37" s="16"/>
      <c r="C37" s="16"/>
      <c r="D37" s="16"/>
      <c r="E37" s="16"/>
      <c r="F37" s="86"/>
    </row>
    <row r="38" spans="1:6" ht="12" thickBot="1">
      <c r="A38" s="830" t="s">
        <v>719</v>
      </c>
      <c r="B38" s="831"/>
      <c r="C38" s="832">
        <f>D4</f>
        <v>0</v>
      </c>
      <c r="D38" s="833">
        <f>C38*B38</f>
        <v>0</v>
      </c>
    </row>
    <row r="39" spans="1:6" ht="12" thickBot="1">
      <c r="A39" s="823" t="s">
        <v>710</v>
      </c>
      <c r="B39" s="16"/>
      <c r="C39" s="16"/>
      <c r="D39" s="824">
        <f>D38</f>
        <v>0</v>
      </c>
    </row>
  </sheetData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A37" sqref="A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940" t="s">
        <v>720</v>
      </c>
      <c r="B1" s="941"/>
      <c r="C1" s="941"/>
      <c r="D1" s="941"/>
      <c r="E1" s="802"/>
      <c r="F1" s="86"/>
    </row>
    <row r="2" spans="1:9">
      <c r="A2" s="993" t="s">
        <v>10</v>
      </c>
      <c r="B2" s="994"/>
      <c r="C2" s="994"/>
      <c r="D2" s="804"/>
    </row>
    <row r="3" spans="1:9">
      <c r="A3" s="991" t="s">
        <v>1</v>
      </c>
      <c r="B3" s="992"/>
      <c r="C3" s="992"/>
      <c r="D3" s="805"/>
    </row>
    <row r="4" spans="1:9">
      <c r="A4" s="991" t="s">
        <v>2</v>
      </c>
      <c r="B4" s="992"/>
      <c r="C4" s="992"/>
      <c r="D4" s="806"/>
    </row>
    <row r="5" spans="1:9">
      <c r="A5" s="991" t="s">
        <v>703</v>
      </c>
      <c r="B5" s="992"/>
      <c r="C5" s="992"/>
      <c r="D5" s="806"/>
    </row>
    <row r="6" spans="1:9">
      <c r="A6" s="986" t="s">
        <v>575</v>
      </c>
      <c r="B6" s="987"/>
      <c r="C6" s="988"/>
      <c r="D6" s="806"/>
      <c r="I6" s="803" t="s">
        <v>714</v>
      </c>
    </row>
    <row r="7" spans="1:9">
      <c r="A7" s="991" t="s">
        <v>130</v>
      </c>
      <c r="B7" s="992"/>
      <c r="C7" s="992"/>
      <c r="D7" s="829"/>
      <c r="I7" s="803" t="s">
        <v>715</v>
      </c>
    </row>
    <row r="8" spans="1:9" ht="12" thickBot="1">
      <c r="A8" s="989" t="s">
        <v>578</v>
      </c>
      <c r="B8" s="990"/>
      <c r="C8" s="990"/>
      <c r="D8" s="807"/>
      <c r="I8" s="803"/>
    </row>
    <row r="9" spans="1:9">
      <c r="A9" s="20"/>
      <c r="B9" s="21"/>
      <c r="C9" s="16"/>
      <c r="D9" s="16"/>
      <c r="E9" s="16"/>
      <c r="F9" s="86"/>
      <c r="I9" s="803" t="s">
        <v>716</v>
      </c>
    </row>
    <row r="10" spans="1:9" ht="12" thickBot="1">
      <c r="A10" s="22" t="s">
        <v>11</v>
      </c>
      <c r="B10" s="23"/>
      <c r="C10" s="23"/>
      <c r="D10" s="23"/>
      <c r="E10" s="16"/>
      <c r="F10" s="86"/>
      <c r="I10" s="803" t="s">
        <v>717</v>
      </c>
    </row>
    <row r="11" spans="1:9">
      <c r="A11" s="24"/>
      <c r="B11" s="26" t="s">
        <v>4</v>
      </c>
      <c r="C11" s="26" t="s">
        <v>13</v>
      </c>
      <c r="D11" s="808" t="s">
        <v>8</v>
      </c>
      <c r="F11" s="86"/>
    </row>
    <row r="12" spans="1:9">
      <c r="A12" s="809" t="s">
        <v>104</v>
      </c>
      <c r="B12" s="810"/>
      <c r="C12" s="145">
        <f>4*D4</f>
        <v>0</v>
      </c>
      <c r="D12" s="30">
        <f>C12*B12</f>
        <v>0</v>
      </c>
      <c r="F12" s="86"/>
    </row>
    <row r="13" spans="1:9">
      <c r="A13" s="819" t="s">
        <v>718</v>
      </c>
      <c r="B13" s="810"/>
      <c r="C13" s="145">
        <f>D4</f>
        <v>0</v>
      </c>
      <c r="D13" s="30">
        <f t="shared" ref="D13:D28" si="0">C13*B13</f>
        <v>0</v>
      </c>
      <c r="F13" s="86"/>
    </row>
    <row r="14" spans="1:9">
      <c r="A14" s="809" t="s">
        <v>704</v>
      </c>
      <c r="B14" s="810"/>
      <c r="C14" s="145">
        <f>IF(D2&gt;0,(D2-0.016)*D4,0)</f>
        <v>0</v>
      </c>
      <c r="D14" s="30">
        <f t="shared" si="0"/>
        <v>0</v>
      </c>
      <c r="F14" s="826"/>
    </row>
    <row r="15" spans="1:9">
      <c r="A15" s="809" t="s">
        <v>705</v>
      </c>
      <c r="B15" s="810"/>
      <c r="C15" s="814">
        <f>IF(D2&gt;0,(D2-0.02)*D4,0)</f>
        <v>0</v>
      </c>
      <c r="D15" s="30">
        <f t="shared" si="0"/>
        <v>0</v>
      </c>
      <c r="F15" s="86"/>
    </row>
    <row r="16" spans="1:9">
      <c r="A16" s="811" t="s">
        <v>15</v>
      </c>
      <c r="B16" s="812"/>
      <c r="C16" s="145">
        <f>D4*2</f>
        <v>0</v>
      </c>
      <c r="D16" s="30">
        <f t="shared" si="0"/>
        <v>0</v>
      </c>
      <c r="F16" s="86"/>
    </row>
    <row r="17" spans="1:6">
      <c r="A17" s="809" t="s">
        <v>721</v>
      </c>
      <c r="B17" s="810"/>
      <c r="C17" s="814">
        <f>IF(D3&gt;0,(D3-0.035)*2*D4,0)</f>
        <v>0</v>
      </c>
      <c r="D17" s="30">
        <f t="shared" si="0"/>
        <v>0</v>
      </c>
      <c r="F17" s="86"/>
    </row>
    <row r="18" spans="1:6">
      <c r="A18" s="809" t="s">
        <v>707</v>
      </c>
      <c r="B18" s="810"/>
      <c r="C18" s="814">
        <f>IF(D2&gt;0,(D2-0.022)*D4,0)</f>
        <v>0</v>
      </c>
      <c r="D18" s="30">
        <f t="shared" si="0"/>
        <v>0</v>
      </c>
      <c r="F18" s="86"/>
    </row>
    <row r="19" spans="1:6">
      <c r="A19" s="809" t="s">
        <v>18</v>
      </c>
      <c r="B19" s="810"/>
      <c r="C19" s="814">
        <f>IF(D3&gt;0,(D3-0.035)*2*D4,0)</f>
        <v>0</v>
      </c>
      <c r="D19" s="30">
        <f t="shared" si="0"/>
        <v>0</v>
      </c>
      <c r="F19" s="86"/>
    </row>
    <row r="20" spans="1:6">
      <c r="A20" s="809" t="s">
        <v>19</v>
      </c>
      <c r="B20" s="815"/>
      <c r="C20" s="814">
        <f>IF(D2&gt;0,(D2-0.016)*D4,0)</f>
        <v>0</v>
      </c>
      <c r="D20" s="30">
        <f t="shared" si="0"/>
        <v>0</v>
      </c>
      <c r="F20" s="86"/>
    </row>
    <row r="21" spans="1:6">
      <c r="A21" s="809" t="s">
        <v>20</v>
      </c>
      <c r="B21" s="815"/>
      <c r="C21" s="814">
        <f>IF(D2&gt;0,(D2-0.022)*D4,0)</f>
        <v>0</v>
      </c>
      <c r="D21" s="30">
        <f t="shared" si="0"/>
        <v>0</v>
      </c>
      <c r="F21" s="86"/>
    </row>
    <row r="22" spans="1:6">
      <c r="A22" s="809" t="s">
        <v>722</v>
      </c>
      <c r="B22" s="816"/>
      <c r="C22" s="817">
        <f>D4</f>
        <v>0</v>
      </c>
      <c r="D22" s="818">
        <f t="shared" si="0"/>
        <v>0</v>
      </c>
      <c r="F22" s="86"/>
    </row>
    <row r="23" spans="1:6">
      <c r="A23" s="809" t="s">
        <v>723</v>
      </c>
      <c r="B23" s="816"/>
      <c r="C23" s="817">
        <f>D4</f>
        <v>0</v>
      </c>
      <c r="D23" s="818">
        <f t="shared" si="0"/>
        <v>0</v>
      </c>
      <c r="F23" s="86"/>
    </row>
    <row r="24" spans="1:6">
      <c r="A24" s="809" t="s">
        <v>724</v>
      </c>
      <c r="B24" s="816"/>
      <c r="C24" s="834">
        <f>IF(D2&gt;0,(D2-0.02)*D4,0)</f>
        <v>0</v>
      </c>
      <c r="D24" s="818">
        <f t="shared" si="0"/>
        <v>0</v>
      </c>
      <c r="F24" s="86"/>
    </row>
    <row r="25" spans="1:6">
      <c r="A25" s="809" t="s">
        <v>573</v>
      </c>
      <c r="B25" s="816"/>
      <c r="C25" s="834">
        <f>D4</f>
        <v>0</v>
      </c>
      <c r="D25" s="818">
        <f t="shared" si="0"/>
        <v>0</v>
      </c>
      <c r="F25" s="86"/>
    </row>
    <row r="26" spans="1:6">
      <c r="A26" s="809" t="s">
        <v>577</v>
      </c>
      <c r="B26" s="816"/>
      <c r="C26" s="834">
        <f>D8</f>
        <v>0</v>
      </c>
      <c r="D26" s="818">
        <f t="shared" si="0"/>
        <v>0</v>
      </c>
      <c r="F26" s="86"/>
    </row>
    <row r="27" spans="1:6">
      <c r="A27" s="809" t="s">
        <v>576</v>
      </c>
      <c r="B27" s="816"/>
      <c r="C27" s="834">
        <f>D7</f>
        <v>0</v>
      </c>
      <c r="D27" s="818">
        <f t="shared" si="0"/>
        <v>0</v>
      </c>
      <c r="F27" s="86"/>
    </row>
    <row r="28" spans="1:6" ht="12" thickBot="1">
      <c r="A28" s="821" t="s">
        <v>574</v>
      </c>
      <c r="B28" s="822"/>
      <c r="C28" s="825">
        <f>D6</f>
        <v>0</v>
      </c>
      <c r="D28" s="39">
        <f t="shared" si="0"/>
        <v>0</v>
      </c>
      <c r="F28" s="86"/>
    </row>
    <row r="29" spans="1:6" ht="12" thickBot="1">
      <c r="A29" s="823" t="s">
        <v>710</v>
      </c>
      <c r="B29" s="16"/>
      <c r="C29" s="16"/>
      <c r="D29" s="827"/>
      <c r="E29" s="16"/>
      <c r="F29" s="86"/>
    </row>
    <row r="30" spans="1:6" ht="12" thickBot="1">
      <c r="A30" s="20"/>
      <c r="B30" s="16"/>
      <c r="C30" s="16"/>
      <c r="D30" s="16"/>
      <c r="E30" s="16"/>
      <c r="F30" s="86"/>
    </row>
    <row r="31" spans="1:6">
      <c r="A31" s="41" t="s">
        <v>35</v>
      </c>
      <c r="B31" s="25"/>
      <c r="C31" s="25"/>
      <c r="D31" s="121"/>
      <c r="F31" s="86"/>
    </row>
    <row r="32" spans="1:6" ht="12" thickBot="1">
      <c r="A32" s="821" t="s">
        <v>25</v>
      </c>
      <c r="B32" s="822"/>
      <c r="C32" s="825">
        <f>IF(AND(D2&gt;0,D6="Нет"),((D2-0.02)+0.1)*D4,0)</f>
        <v>0</v>
      </c>
      <c r="D32" s="39">
        <f t="shared" ref="D32" si="1">C32*B32</f>
        <v>0</v>
      </c>
      <c r="F32" s="86"/>
    </row>
    <row r="33" spans="1:6" ht="12" thickBot="1">
      <c r="A33" s="823" t="s">
        <v>710</v>
      </c>
      <c r="B33" s="16"/>
      <c r="C33" s="16"/>
      <c r="D33" s="824"/>
      <c r="E33" s="16"/>
      <c r="F33" s="86"/>
    </row>
    <row r="34" spans="1:6">
      <c r="A34" s="45"/>
      <c r="B34" s="16"/>
      <c r="C34" s="16"/>
      <c r="D34" s="16"/>
      <c r="E34" s="16"/>
      <c r="F34" s="86"/>
    </row>
    <row r="35" spans="1:6">
      <c r="A35" s="22" t="s">
        <v>713</v>
      </c>
      <c r="B35" s="16"/>
      <c r="C35" s="16"/>
      <c r="D35" s="16"/>
      <c r="E35" s="16"/>
      <c r="F35" s="86"/>
    </row>
    <row r="36" spans="1:6" ht="12" thickBot="1">
      <c r="A36" s="22"/>
      <c r="B36" s="16"/>
      <c r="C36" s="16"/>
      <c r="D36" s="16"/>
      <c r="E36" s="16"/>
      <c r="F36" s="86"/>
    </row>
    <row r="37" spans="1:6" ht="12" thickBot="1">
      <c r="A37" s="830" t="s">
        <v>719</v>
      </c>
      <c r="B37" s="831"/>
      <c r="C37" s="832">
        <f>IF(D8="Да",D4,0)</f>
        <v>0</v>
      </c>
      <c r="D37" s="833">
        <f>C37*B37</f>
        <v>0</v>
      </c>
      <c r="E37" s="86"/>
    </row>
    <row r="38" spans="1:6" ht="12" thickBot="1">
      <c r="A38" s="823" t="s">
        <v>710</v>
      </c>
      <c r="B38" s="16"/>
      <c r="C38" s="16"/>
      <c r="D38" s="82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A13" sqref="A13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940" t="s">
        <v>725</v>
      </c>
      <c r="B1" s="941"/>
      <c r="C1" s="941"/>
      <c r="D1" s="941"/>
      <c r="E1" s="802"/>
      <c r="F1" s="86"/>
    </row>
    <row r="2" spans="1:9">
      <c r="A2" s="993" t="s">
        <v>10</v>
      </c>
      <c r="B2" s="994"/>
      <c r="C2" s="994"/>
      <c r="D2" s="804"/>
    </row>
    <row r="3" spans="1:9">
      <c r="A3" s="991" t="s">
        <v>1</v>
      </c>
      <c r="B3" s="992"/>
      <c r="C3" s="992"/>
      <c r="D3" s="805"/>
    </row>
    <row r="4" spans="1:9">
      <c r="A4" s="991" t="s">
        <v>2</v>
      </c>
      <c r="B4" s="992"/>
      <c r="C4" s="992"/>
      <c r="D4" s="806"/>
    </row>
    <row r="5" spans="1:9">
      <c r="A5" s="991" t="s">
        <v>703</v>
      </c>
      <c r="B5" s="992"/>
      <c r="C5" s="992"/>
      <c r="D5" s="806"/>
      <c r="I5" s="803" t="s">
        <v>714</v>
      </c>
    </row>
    <row r="6" spans="1:9">
      <c r="A6" s="986" t="s">
        <v>575</v>
      </c>
      <c r="B6" s="987"/>
      <c r="C6" s="988"/>
      <c r="D6" s="806"/>
      <c r="I6" s="803" t="s">
        <v>715</v>
      </c>
    </row>
    <row r="7" spans="1:9">
      <c r="A7" s="991" t="s">
        <v>130</v>
      </c>
      <c r="B7" s="992"/>
      <c r="C7" s="992"/>
      <c r="D7" s="829"/>
      <c r="I7" s="803"/>
    </row>
    <row r="8" spans="1:9" ht="12" thickBot="1">
      <c r="A8" s="989" t="s">
        <v>578</v>
      </c>
      <c r="B8" s="990"/>
      <c r="C8" s="990"/>
      <c r="D8" s="807"/>
      <c r="E8" s="16"/>
      <c r="F8" s="86"/>
      <c r="I8" s="803" t="s">
        <v>716</v>
      </c>
    </row>
    <row r="9" spans="1:9">
      <c r="A9" s="835"/>
      <c r="B9" s="836"/>
      <c r="C9" s="836"/>
      <c r="D9" s="837"/>
      <c r="E9" s="16"/>
      <c r="F9" s="86"/>
      <c r="I9" s="803"/>
    </row>
    <row r="10" spans="1:9" ht="12" thickBot="1">
      <c r="A10" s="22" t="s">
        <v>11</v>
      </c>
      <c r="B10" s="23"/>
      <c r="C10" s="23"/>
      <c r="D10" s="23"/>
      <c r="E10" s="16"/>
      <c r="F10" s="86"/>
      <c r="I10" s="803" t="s">
        <v>717</v>
      </c>
    </row>
    <row r="11" spans="1:9">
      <c r="A11" s="24"/>
      <c r="B11" s="26" t="s">
        <v>4</v>
      </c>
      <c r="C11" s="26" t="s">
        <v>13</v>
      </c>
      <c r="D11" s="808" t="s">
        <v>8</v>
      </c>
      <c r="F11" s="86"/>
    </row>
    <row r="12" spans="1:9">
      <c r="A12" s="809" t="s">
        <v>104</v>
      </c>
      <c r="B12" s="810"/>
      <c r="C12" s="145">
        <f>4*D4</f>
        <v>0</v>
      </c>
      <c r="D12" s="30">
        <f>C12*B12</f>
        <v>0</v>
      </c>
      <c r="F12" s="86"/>
    </row>
    <row r="13" spans="1:9">
      <c r="A13" s="819" t="s">
        <v>718</v>
      </c>
      <c r="B13" s="810"/>
      <c r="C13" s="145">
        <f>D4</f>
        <v>0</v>
      </c>
      <c r="D13" s="30">
        <f t="shared" ref="D13:D25" si="0">C13*B13</f>
        <v>0</v>
      </c>
      <c r="F13" s="86"/>
    </row>
    <row r="14" spans="1:9">
      <c r="A14" s="809" t="s">
        <v>704</v>
      </c>
      <c r="B14" s="810"/>
      <c r="C14" s="145">
        <f>IF(D2&gt;0,(D2-0.016)*D4,0)</f>
        <v>0</v>
      </c>
      <c r="D14" s="30">
        <f t="shared" si="0"/>
        <v>0</v>
      </c>
      <c r="F14" s="826"/>
    </row>
    <row r="15" spans="1:9">
      <c r="A15" s="809" t="s">
        <v>705</v>
      </c>
      <c r="B15" s="810"/>
      <c r="C15" s="814">
        <f>IF(D2&gt;0,(D2-0.02)*D4,0)</f>
        <v>0</v>
      </c>
      <c r="D15" s="30">
        <f t="shared" si="0"/>
        <v>0</v>
      </c>
      <c r="F15" s="86"/>
    </row>
    <row r="16" spans="1:9">
      <c r="A16" s="809" t="s">
        <v>706</v>
      </c>
      <c r="B16" s="810"/>
      <c r="C16" s="145">
        <f>IF(D3&gt;0,(D3-0.035)*2*D4,0)</f>
        <v>0</v>
      </c>
      <c r="D16" s="30">
        <f t="shared" si="0"/>
        <v>0</v>
      </c>
      <c r="F16" s="86"/>
    </row>
    <row r="17" spans="1:6">
      <c r="A17" s="809" t="s">
        <v>726</v>
      </c>
      <c r="B17" s="810"/>
      <c r="C17" s="145">
        <f>IF(D2&gt;0,(D2-0.022)*D4,0)</f>
        <v>0</v>
      </c>
      <c r="D17" s="30">
        <f t="shared" si="0"/>
        <v>0</v>
      </c>
      <c r="F17" s="86"/>
    </row>
    <row r="18" spans="1:6">
      <c r="A18" s="809" t="s">
        <v>18</v>
      </c>
      <c r="B18" s="810"/>
      <c r="C18" s="145">
        <f>IF(D3&gt;0,(D3-0.035)*2*D4,0)</f>
        <v>0</v>
      </c>
      <c r="D18" s="30">
        <f t="shared" si="0"/>
        <v>0</v>
      </c>
      <c r="F18" s="86"/>
    </row>
    <row r="19" spans="1:6">
      <c r="A19" s="809" t="s">
        <v>19</v>
      </c>
      <c r="B19" s="815"/>
      <c r="C19" s="145">
        <f>IF(D2&gt;0,(D2-0.016)*D4,0)</f>
        <v>0</v>
      </c>
      <c r="D19" s="30">
        <f t="shared" si="0"/>
        <v>0</v>
      </c>
      <c r="F19" s="86"/>
    </row>
    <row r="20" spans="1:6">
      <c r="A20" s="809" t="s">
        <v>20</v>
      </c>
      <c r="B20" s="815"/>
      <c r="C20" s="145">
        <f>IF(D2&gt;0,(D2-0.022)*D4,0)</f>
        <v>0</v>
      </c>
      <c r="D20" s="30">
        <f t="shared" si="0"/>
        <v>0</v>
      </c>
      <c r="F20" s="86"/>
    </row>
    <row r="21" spans="1:6">
      <c r="A21" s="820" t="s">
        <v>709</v>
      </c>
      <c r="B21" s="816"/>
      <c r="C21" s="817">
        <f>D4</f>
        <v>0</v>
      </c>
      <c r="D21" s="818">
        <f t="shared" si="0"/>
        <v>0</v>
      </c>
      <c r="F21" s="86"/>
    </row>
    <row r="22" spans="1:6">
      <c r="A22" s="809" t="s">
        <v>573</v>
      </c>
      <c r="B22" s="816"/>
      <c r="C22" s="817">
        <f>D4</f>
        <v>0</v>
      </c>
      <c r="D22" s="818">
        <f t="shared" si="0"/>
        <v>0</v>
      </c>
      <c r="F22" s="86"/>
    </row>
    <row r="23" spans="1:6">
      <c r="A23" s="809" t="s">
        <v>577</v>
      </c>
      <c r="B23" s="816"/>
      <c r="C23" s="817">
        <f>D8</f>
        <v>0</v>
      </c>
      <c r="D23" s="818">
        <f t="shared" si="0"/>
        <v>0</v>
      </c>
      <c r="F23" s="86"/>
    </row>
    <row r="24" spans="1:6">
      <c r="A24" s="809" t="s">
        <v>576</v>
      </c>
      <c r="B24" s="816"/>
      <c r="C24" s="817">
        <f>D7</f>
        <v>0</v>
      </c>
      <c r="D24" s="818">
        <f t="shared" si="0"/>
        <v>0</v>
      </c>
      <c r="F24" s="86"/>
    </row>
    <row r="25" spans="1:6" ht="12" thickBot="1">
      <c r="A25" s="821" t="s">
        <v>574</v>
      </c>
      <c r="B25" s="822"/>
      <c r="C25" s="38">
        <f>D6</f>
        <v>0</v>
      </c>
      <c r="D25" s="39">
        <f t="shared" si="0"/>
        <v>0</v>
      </c>
      <c r="F25" s="86"/>
    </row>
    <row r="26" spans="1:6" ht="12" thickBot="1">
      <c r="A26" s="823" t="s">
        <v>710</v>
      </c>
      <c r="B26" s="16"/>
      <c r="C26" s="16"/>
      <c r="D26" s="824"/>
      <c r="E26" s="16"/>
      <c r="F26" s="86"/>
    </row>
    <row r="27" spans="1:6" ht="12" thickBot="1">
      <c r="A27" s="20"/>
      <c r="B27" s="16"/>
      <c r="C27" s="16"/>
      <c r="D27" s="16"/>
      <c r="E27" s="16"/>
      <c r="F27" s="86"/>
    </row>
    <row r="28" spans="1:6">
      <c r="A28" s="41" t="s">
        <v>35</v>
      </c>
      <c r="B28" s="25"/>
      <c r="C28" s="25"/>
      <c r="D28" s="121"/>
      <c r="F28" s="86"/>
    </row>
    <row r="29" spans="1:6">
      <c r="A29" s="809" t="s">
        <v>711</v>
      </c>
      <c r="B29" s="810"/>
      <c r="C29" s="145">
        <f>IF(D5="Нет",D4,0)</f>
        <v>0</v>
      </c>
      <c r="D29" s="30">
        <f t="shared" ref="D29:D31" si="1">C29*B29</f>
        <v>0</v>
      </c>
      <c r="F29" s="86"/>
    </row>
    <row r="30" spans="1:6">
      <c r="A30" s="809" t="s">
        <v>712</v>
      </c>
      <c r="B30" s="810"/>
      <c r="C30" s="814">
        <f>IF(AND(D5="Нет",D2&gt;0),D4*(D2-0.02),0)</f>
        <v>0</v>
      </c>
      <c r="D30" s="30">
        <f t="shared" si="1"/>
        <v>0</v>
      </c>
      <c r="F30" s="86"/>
    </row>
    <row r="31" spans="1:6" ht="12" thickBot="1">
      <c r="A31" s="821" t="s">
        <v>25</v>
      </c>
      <c r="B31" s="822"/>
      <c r="C31" s="825">
        <f>IF(AND(D2&gt;0,D5="Нет"),((D2-0.02)+0.1)*D4,0)</f>
        <v>0</v>
      </c>
      <c r="D31" s="39">
        <f t="shared" si="1"/>
        <v>0</v>
      </c>
      <c r="F31" s="86"/>
    </row>
    <row r="32" spans="1:6" ht="12" thickBot="1">
      <c r="A32" s="823" t="s">
        <v>710</v>
      </c>
      <c r="B32" s="16"/>
      <c r="C32" s="16"/>
      <c r="D32" s="824"/>
      <c r="E32" s="16"/>
      <c r="F32" s="86"/>
    </row>
    <row r="33" spans="1:6">
      <c r="A33" s="45"/>
      <c r="B33" s="16"/>
      <c r="C33" s="16"/>
      <c r="D33" s="16"/>
      <c r="E33" s="16"/>
      <c r="F33" s="86"/>
    </row>
    <row r="34" spans="1:6">
      <c r="A34" s="22" t="s">
        <v>713</v>
      </c>
      <c r="B34" s="16"/>
      <c r="C34" s="16"/>
      <c r="D34" s="16"/>
      <c r="E34" s="16"/>
      <c r="F34" s="86"/>
    </row>
    <row r="35" spans="1:6" ht="12" thickBot="1">
      <c r="A35" s="22"/>
      <c r="B35" s="16"/>
      <c r="C35" s="16"/>
      <c r="D35" s="16"/>
      <c r="E35" s="16"/>
      <c r="F35" s="86"/>
    </row>
    <row r="36" spans="1:6" ht="12" thickBot="1">
      <c r="A36" s="830" t="s">
        <v>719</v>
      </c>
      <c r="B36" s="831"/>
      <c r="C36" s="832">
        <f>D4</f>
        <v>0</v>
      </c>
      <c r="D36" s="833">
        <f>C36*B36</f>
        <v>0</v>
      </c>
    </row>
    <row r="37" spans="1:6" ht="12" thickBot="1">
      <c r="A37" s="823" t="s">
        <v>710</v>
      </c>
      <c r="B37" s="16"/>
      <c r="C37" s="16"/>
      <c r="D37" s="824"/>
    </row>
  </sheetData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J13" sqref="J13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940" t="s">
        <v>727</v>
      </c>
      <c r="B1" s="941"/>
      <c r="C1" s="941"/>
      <c r="D1" s="941"/>
      <c r="E1" s="802"/>
      <c r="F1" s="86"/>
    </row>
    <row r="2" spans="1:9">
      <c r="A2" s="993" t="s">
        <v>10</v>
      </c>
      <c r="B2" s="994"/>
      <c r="C2" s="994"/>
      <c r="D2" s="804"/>
    </row>
    <row r="3" spans="1:9">
      <c r="A3" s="991" t="s">
        <v>1</v>
      </c>
      <c r="B3" s="992"/>
      <c r="C3" s="992"/>
      <c r="D3" s="805"/>
    </row>
    <row r="4" spans="1:9">
      <c r="A4" s="991" t="s">
        <v>2</v>
      </c>
      <c r="B4" s="992"/>
      <c r="C4" s="992"/>
      <c r="D4" s="806"/>
    </row>
    <row r="5" spans="1:9">
      <c r="A5" s="991" t="s">
        <v>703</v>
      </c>
      <c r="B5" s="992"/>
      <c r="C5" s="992"/>
      <c r="D5" s="806"/>
      <c r="I5" s="803" t="s">
        <v>714</v>
      </c>
    </row>
    <row r="6" spans="1:9">
      <c r="A6" s="986" t="s">
        <v>575</v>
      </c>
      <c r="B6" s="987"/>
      <c r="C6" s="988"/>
      <c r="D6" s="806"/>
      <c r="I6" s="803" t="s">
        <v>715</v>
      </c>
    </row>
    <row r="7" spans="1:9">
      <c r="A7" s="991" t="s">
        <v>130</v>
      </c>
      <c r="B7" s="992"/>
      <c r="C7" s="992"/>
      <c r="D7" s="829"/>
      <c r="I7" s="803"/>
    </row>
    <row r="8" spans="1:9" ht="12" thickBot="1">
      <c r="A8" s="989" t="s">
        <v>578</v>
      </c>
      <c r="B8" s="990"/>
      <c r="C8" s="990"/>
      <c r="D8" s="807"/>
      <c r="E8" s="16"/>
      <c r="F8" s="86"/>
      <c r="I8" s="803" t="s">
        <v>716</v>
      </c>
    </row>
    <row r="9" spans="1:9">
      <c r="A9" s="835"/>
      <c r="B9" s="836"/>
      <c r="C9" s="836"/>
      <c r="D9" s="837"/>
      <c r="E9" s="16"/>
      <c r="F9" s="86"/>
      <c r="I9" s="803"/>
    </row>
    <row r="10" spans="1:9" ht="12" thickBot="1">
      <c r="A10" s="22" t="s">
        <v>11</v>
      </c>
      <c r="B10" s="23"/>
      <c r="C10" s="23"/>
      <c r="D10" s="23"/>
      <c r="E10" s="16"/>
      <c r="F10" s="86"/>
      <c r="I10" s="803" t="s">
        <v>717</v>
      </c>
    </row>
    <row r="11" spans="1:9">
      <c r="A11" s="24"/>
      <c r="B11" s="26" t="s">
        <v>4</v>
      </c>
      <c r="C11" s="26" t="s">
        <v>13</v>
      </c>
      <c r="D11" s="808" t="s">
        <v>8</v>
      </c>
      <c r="F11" s="86"/>
    </row>
    <row r="12" spans="1:9" ht="12" customHeight="1">
      <c r="A12" s="809" t="s">
        <v>104</v>
      </c>
      <c r="B12" s="810"/>
      <c r="C12" s="145">
        <f>4*D4</f>
        <v>0</v>
      </c>
      <c r="D12" s="30">
        <f>C12*B12</f>
        <v>0</v>
      </c>
      <c r="F12" s="86"/>
    </row>
    <row r="13" spans="1:9">
      <c r="A13" s="819" t="s">
        <v>718</v>
      </c>
      <c r="B13" s="810"/>
      <c r="C13" s="145">
        <f>D4</f>
        <v>0</v>
      </c>
      <c r="D13" s="30">
        <f t="shared" ref="D13:D27" si="0">C13*B13</f>
        <v>0</v>
      </c>
      <c r="F13" s="86"/>
    </row>
    <row r="14" spans="1:9">
      <c r="A14" s="809" t="s">
        <v>704</v>
      </c>
      <c r="B14" s="810"/>
      <c r="C14" s="145">
        <f>IF(D2&gt;0,(D2-0.016)*D4,0)</f>
        <v>0</v>
      </c>
      <c r="D14" s="30">
        <f t="shared" si="0"/>
        <v>0</v>
      </c>
      <c r="F14" s="826"/>
    </row>
    <row r="15" spans="1:9">
      <c r="A15" s="809" t="s">
        <v>705</v>
      </c>
      <c r="B15" s="810"/>
      <c r="C15" s="814">
        <f>IF(D2&gt;0,(D2-0.02)*D4,0)</f>
        <v>0</v>
      </c>
      <c r="D15" s="30">
        <f t="shared" si="0"/>
        <v>0</v>
      </c>
      <c r="F15" s="86"/>
    </row>
    <row r="16" spans="1:9">
      <c r="A16" s="809" t="s">
        <v>721</v>
      </c>
      <c r="B16" s="810"/>
      <c r="C16" s="814">
        <f>IF(D3&gt;0,(D3-0.035)*2*D4,0)</f>
        <v>0</v>
      </c>
      <c r="D16" s="30">
        <f t="shared" si="0"/>
        <v>0</v>
      </c>
      <c r="F16" s="86"/>
    </row>
    <row r="17" spans="1:6">
      <c r="A17" s="809" t="s">
        <v>726</v>
      </c>
      <c r="B17" s="810"/>
      <c r="C17" s="814">
        <f>IF(D2&gt;0,(D2-0.022)*D4,0)</f>
        <v>0</v>
      </c>
      <c r="D17" s="30">
        <f t="shared" si="0"/>
        <v>0</v>
      </c>
      <c r="F17" s="86"/>
    </row>
    <row r="18" spans="1:6">
      <c r="A18" s="809" t="s">
        <v>18</v>
      </c>
      <c r="B18" s="810"/>
      <c r="C18" s="814">
        <f>IF(D3&gt;0,(D3-0.035)*2*D4,0)</f>
        <v>0</v>
      </c>
      <c r="D18" s="30">
        <f t="shared" si="0"/>
        <v>0</v>
      </c>
      <c r="F18" s="86"/>
    </row>
    <row r="19" spans="1:6">
      <c r="A19" s="809" t="s">
        <v>19</v>
      </c>
      <c r="B19" s="815"/>
      <c r="C19" s="814">
        <f>IF(D2&gt;0,(D2-0.016)*D4,0)</f>
        <v>0</v>
      </c>
      <c r="D19" s="30">
        <f t="shared" si="0"/>
        <v>0</v>
      </c>
      <c r="F19" s="86"/>
    </row>
    <row r="20" spans="1:6">
      <c r="A20" s="809" t="s">
        <v>20</v>
      </c>
      <c r="B20" s="815"/>
      <c r="C20" s="814">
        <f>IF(D2&gt;0,(D2-0.022)*D4,0)</f>
        <v>0</v>
      </c>
      <c r="D20" s="30">
        <f t="shared" si="0"/>
        <v>0</v>
      </c>
      <c r="F20" s="86"/>
    </row>
    <row r="21" spans="1:6">
      <c r="A21" s="809" t="s">
        <v>722</v>
      </c>
      <c r="B21" s="816"/>
      <c r="C21" s="817">
        <f>D4</f>
        <v>0</v>
      </c>
      <c r="D21" s="818">
        <f t="shared" si="0"/>
        <v>0</v>
      </c>
      <c r="F21" s="86"/>
    </row>
    <row r="22" spans="1:6">
      <c r="A22" s="809" t="s">
        <v>723</v>
      </c>
      <c r="B22" s="816"/>
      <c r="C22" s="817">
        <f>D4</f>
        <v>0</v>
      </c>
      <c r="D22" s="818">
        <f t="shared" si="0"/>
        <v>0</v>
      </c>
      <c r="F22" s="86"/>
    </row>
    <row r="23" spans="1:6">
      <c r="A23" s="809" t="s">
        <v>573</v>
      </c>
      <c r="B23" s="816"/>
      <c r="C23" s="817">
        <f>D4</f>
        <v>0</v>
      </c>
      <c r="D23" s="818">
        <f t="shared" si="0"/>
        <v>0</v>
      </c>
      <c r="F23" s="86"/>
    </row>
    <row r="24" spans="1:6">
      <c r="A24" s="809" t="s">
        <v>577</v>
      </c>
      <c r="B24" s="816"/>
      <c r="C24" s="817">
        <f>D8</f>
        <v>0</v>
      </c>
      <c r="D24" s="818">
        <f t="shared" si="0"/>
        <v>0</v>
      </c>
      <c r="F24" s="86"/>
    </row>
    <row r="25" spans="1:6">
      <c r="A25" s="809" t="s">
        <v>576</v>
      </c>
      <c r="B25" s="816"/>
      <c r="C25" s="817">
        <f>D7</f>
        <v>0</v>
      </c>
      <c r="D25" s="818">
        <f t="shared" si="0"/>
        <v>0</v>
      </c>
      <c r="E25" s="16"/>
      <c r="F25" s="86"/>
    </row>
    <row r="26" spans="1:6">
      <c r="A26" s="809" t="s">
        <v>574</v>
      </c>
      <c r="B26" s="810"/>
      <c r="C26" s="145">
        <f>D6</f>
        <v>0</v>
      </c>
      <c r="D26" s="30">
        <f t="shared" si="0"/>
        <v>0</v>
      </c>
      <c r="E26" s="16"/>
      <c r="F26" s="86"/>
    </row>
    <row r="27" spans="1:6" ht="12" thickBot="1">
      <c r="A27" s="828" t="s">
        <v>724</v>
      </c>
      <c r="B27" s="838"/>
      <c r="C27" s="839">
        <f>IF(D2&gt;0,(D2-0.02)*D4,0)</f>
        <v>0</v>
      </c>
      <c r="D27" s="840">
        <f t="shared" si="0"/>
        <v>0</v>
      </c>
      <c r="E27" s="16"/>
      <c r="F27" s="86"/>
    </row>
    <row r="28" spans="1:6" ht="12" thickBot="1">
      <c r="A28" s="823" t="s">
        <v>710</v>
      </c>
      <c r="B28" s="16"/>
      <c r="C28" s="16"/>
      <c r="D28" s="827"/>
      <c r="E28" s="16"/>
      <c r="F28" s="86"/>
    </row>
    <row r="29" spans="1:6" ht="12" thickBot="1">
      <c r="A29" s="20"/>
      <c r="B29" s="16"/>
      <c r="C29" s="16"/>
      <c r="D29" s="16"/>
      <c r="E29" s="86"/>
    </row>
    <row r="30" spans="1:6">
      <c r="A30" s="41" t="s">
        <v>35</v>
      </c>
      <c r="B30" s="25"/>
      <c r="C30" s="25"/>
      <c r="D30" s="121"/>
    </row>
    <row r="31" spans="1:6" ht="12" thickBot="1">
      <c r="A31" s="821" t="s">
        <v>25</v>
      </c>
      <c r="B31" s="822"/>
      <c r="C31" s="825">
        <f>IF(AND(D2&gt;0,D5="Нет"),((D2-0.02)+0.1)*D4,0)</f>
        <v>0</v>
      </c>
      <c r="D31" s="39">
        <f t="shared" ref="D31" si="1">C31*B31</f>
        <v>0</v>
      </c>
    </row>
    <row r="32" spans="1:6" ht="12" thickBot="1">
      <c r="A32" s="823" t="s">
        <v>710</v>
      </c>
      <c r="B32" s="16"/>
      <c r="C32" s="16"/>
      <c r="D32" s="824"/>
    </row>
    <row r="33" spans="1:4">
      <c r="A33" s="45"/>
      <c r="B33" s="16"/>
      <c r="C33" s="16"/>
      <c r="D33" s="16"/>
    </row>
    <row r="34" spans="1:4">
      <c r="A34" s="22" t="s">
        <v>713</v>
      </c>
      <c r="B34" s="16"/>
      <c r="C34" s="16"/>
      <c r="D34" s="16"/>
    </row>
    <row r="35" spans="1:4" ht="12" thickBot="1">
      <c r="A35" s="22"/>
      <c r="B35" s="16"/>
      <c r="C35" s="16"/>
      <c r="D35" s="16"/>
    </row>
    <row r="36" spans="1:4" ht="12" thickBot="1">
      <c r="A36" s="830" t="s">
        <v>719</v>
      </c>
      <c r="B36" s="831"/>
      <c r="C36" s="832">
        <f>D4</f>
        <v>0</v>
      </c>
      <c r="D36" s="833">
        <f>C36*B36</f>
        <v>0</v>
      </c>
    </row>
    <row r="37" spans="1:4" ht="12" thickBot="1">
      <c r="A37" s="823" t="s">
        <v>710</v>
      </c>
      <c r="B37" s="16"/>
      <c r="C37" s="16"/>
      <c r="D37" s="824"/>
    </row>
  </sheetData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A30" sqref="A30:XFD30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936" t="s">
        <v>133</v>
      </c>
      <c r="B1" s="937"/>
      <c r="C1" s="937"/>
      <c r="D1" s="937"/>
      <c r="E1" s="959"/>
    </row>
    <row r="2" spans="1:12" ht="15" thickBot="1">
      <c r="A2" s="960" t="s">
        <v>3</v>
      </c>
      <c r="B2" s="961"/>
      <c r="C2" s="961"/>
      <c r="D2" s="961"/>
      <c r="E2" s="962"/>
    </row>
    <row r="3" spans="1:12">
      <c r="A3" s="51" t="s">
        <v>6</v>
      </c>
      <c r="B3" s="354">
        <v>0.6</v>
      </c>
      <c r="C3" s="938" t="s">
        <v>30</v>
      </c>
      <c r="D3" s="964"/>
      <c r="E3" s="939"/>
      <c r="G3" s="942" t="s">
        <v>122</v>
      </c>
      <c r="H3" s="943"/>
      <c r="I3" s="943"/>
      <c r="J3" s="943"/>
      <c r="K3" s="943"/>
      <c r="L3" s="944"/>
    </row>
    <row r="4" spans="1:12" ht="12" thickBot="1">
      <c r="A4" s="52" t="s">
        <v>1</v>
      </c>
      <c r="B4" s="49">
        <v>1.6</v>
      </c>
      <c r="C4" s="1007" t="s">
        <v>30</v>
      </c>
      <c r="D4" s="966"/>
      <c r="E4" s="967"/>
      <c r="G4" s="945"/>
      <c r="H4" s="946"/>
      <c r="I4" s="946"/>
      <c r="J4" s="946"/>
      <c r="K4" s="946"/>
      <c r="L4" s="947"/>
    </row>
    <row r="5" spans="1:12">
      <c r="A5" s="52" t="s">
        <v>36</v>
      </c>
      <c r="B5" s="49">
        <v>2</v>
      </c>
      <c r="C5" s="998" t="s">
        <v>37</v>
      </c>
      <c r="D5" s="969"/>
      <c r="E5" s="970"/>
    </row>
    <row r="6" spans="1:12">
      <c r="A6" s="52" t="s">
        <v>31</v>
      </c>
      <c r="B6" s="50">
        <v>1</v>
      </c>
      <c r="C6" s="998" t="s">
        <v>33</v>
      </c>
      <c r="D6" s="982"/>
      <c r="E6" s="983"/>
    </row>
    <row r="7" spans="1:12">
      <c r="A7" s="52" t="s">
        <v>137</v>
      </c>
      <c r="B7" s="50">
        <v>2</v>
      </c>
      <c r="C7" s="933" t="s">
        <v>138</v>
      </c>
      <c r="D7" s="999"/>
      <c r="E7" s="1000"/>
    </row>
    <row r="8" spans="1:12" ht="24" customHeight="1">
      <c r="A8" s="55" t="s">
        <v>32</v>
      </c>
      <c r="B8" s="70">
        <v>2</v>
      </c>
      <c r="C8" s="935" t="s">
        <v>34</v>
      </c>
      <c r="D8" s="978"/>
      <c r="E8" s="930"/>
    </row>
    <row r="9" spans="1:12">
      <c r="A9" s="162" t="s">
        <v>53</v>
      </c>
      <c r="B9" s="163">
        <v>1</v>
      </c>
      <c r="C9" s="1001" t="s">
        <v>30</v>
      </c>
      <c r="D9" s="1002"/>
      <c r="E9" s="1003"/>
    </row>
    <row r="10" spans="1:12">
      <c r="A10" s="178" t="s">
        <v>578</v>
      </c>
      <c r="B10" s="163">
        <v>1</v>
      </c>
      <c r="C10" s="1004"/>
      <c r="D10" s="1005"/>
      <c r="E10" s="1006"/>
    </row>
    <row r="11" spans="1:12" ht="12" thickBot="1">
      <c r="A11" s="12" t="s">
        <v>575</v>
      </c>
      <c r="B11" s="69">
        <v>50</v>
      </c>
      <c r="C11" s="995"/>
      <c r="D11" s="996"/>
      <c r="E11" s="997"/>
    </row>
    <row r="12" spans="1:12" ht="12" thickBot="1"/>
    <row r="13" spans="1:12" ht="12.75">
      <c r="A13" s="355" t="s">
        <v>7</v>
      </c>
      <c r="B13" s="356" t="s">
        <v>85</v>
      </c>
      <c r="C13" s="356" t="s">
        <v>0</v>
      </c>
      <c r="D13" s="65" t="s">
        <v>4</v>
      </c>
      <c r="E13" s="357" t="s">
        <v>8</v>
      </c>
    </row>
    <row r="14" spans="1:12">
      <c r="A14" s="27" t="s">
        <v>585</v>
      </c>
      <c r="B14" s="351"/>
      <c r="C14" s="353">
        <f>(IF(B5=2,B3-0.031,B3+0.005))*B9</f>
        <v>0.56899999999999995</v>
      </c>
      <c r="D14" s="63"/>
      <c r="E14" s="67">
        <f t="shared" ref="E14:E27" si="0">C14*D14</f>
        <v>0</v>
      </c>
    </row>
    <row r="15" spans="1:12">
      <c r="A15" s="58" t="s">
        <v>112</v>
      </c>
      <c r="B15" s="351"/>
      <c r="C15" s="353">
        <f>2*B9</f>
        <v>2</v>
      </c>
      <c r="D15" s="63"/>
      <c r="E15" s="67">
        <f t="shared" si="0"/>
        <v>0</v>
      </c>
    </row>
    <row r="16" spans="1:12">
      <c r="A16" s="31" t="s">
        <v>108</v>
      </c>
      <c r="B16" s="351"/>
      <c r="C16" s="353">
        <f>(IF(B5=1,B3,B3-0.036))*B9</f>
        <v>0.56399999999999995</v>
      </c>
      <c r="D16" s="63"/>
      <c r="E16" s="67">
        <f t="shared" si="0"/>
        <v>0</v>
      </c>
    </row>
    <row r="17" spans="1:5">
      <c r="A17" s="27" t="s">
        <v>50</v>
      </c>
      <c r="B17" s="351"/>
      <c r="C17" s="353">
        <f>C14</f>
        <v>0.56899999999999995</v>
      </c>
      <c r="D17" s="63"/>
      <c r="E17" s="67">
        <f t="shared" si="0"/>
        <v>0</v>
      </c>
    </row>
    <row r="18" spans="1:5">
      <c r="A18" s="27" t="s">
        <v>49</v>
      </c>
      <c r="B18" s="351"/>
      <c r="C18" s="353">
        <f>C16</f>
        <v>0.56399999999999995</v>
      </c>
      <c r="D18" s="63"/>
      <c r="E18" s="67">
        <f t="shared" si="0"/>
        <v>0</v>
      </c>
    </row>
    <row r="19" spans="1:5">
      <c r="A19" s="58" t="s">
        <v>113</v>
      </c>
      <c r="B19" s="351"/>
      <c r="C19" s="352">
        <f>B3*B9</f>
        <v>0.6</v>
      </c>
      <c r="D19" s="352"/>
      <c r="E19" s="169">
        <f t="shared" si="0"/>
        <v>0</v>
      </c>
    </row>
    <row r="20" spans="1:5">
      <c r="A20" s="58" t="s">
        <v>114</v>
      </c>
      <c r="B20" s="351"/>
      <c r="C20" s="352">
        <f>B9*2</f>
        <v>2</v>
      </c>
      <c r="D20" s="352"/>
      <c r="E20" s="169">
        <f t="shared" si="0"/>
        <v>0</v>
      </c>
    </row>
    <row r="21" spans="1:5">
      <c r="A21" s="119" t="s">
        <v>40</v>
      </c>
      <c r="B21" s="351"/>
      <c r="C21" s="353">
        <f>(IF(B6=1,B4*2+0.2,0))*B9</f>
        <v>3.4000000000000004</v>
      </c>
      <c r="D21" s="63"/>
      <c r="E21" s="67">
        <f t="shared" si="0"/>
        <v>0</v>
      </c>
    </row>
    <row r="22" spans="1:5">
      <c r="A22" s="120" t="s">
        <v>135</v>
      </c>
      <c r="B22" s="351"/>
      <c r="C22" s="353">
        <f>(IF(B6=1,2,0))*B9</f>
        <v>2</v>
      </c>
      <c r="D22" s="63"/>
      <c r="E22" s="67">
        <f t="shared" si="0"/>
        <v>0</v>
      </c>
    </row>
    <row r="23" spans="1:5">
      <c r="A23" s="58" t="s">
        <v>111</v>
      </c>
      <c r="B23" s="351"/>
      <c r="C23" s="353">
        <f>(IF(B8=3,2,0))*B9</f>
        <v>0</v>
      </c>
      <c r="D23" s="63"/>
      <c r="E23" s="67">
        <f t="shared" si="0"/>
        <v>0</v>
      </c>
    </row>
    <row r="24" spans="1:5">
      <c r="A24" s="58" t="s">
        <v>110</v>
      </c>
      <c r="B24" s="351"/>
      <c r="C24" s="353">
        <f>(IF(B8=3,2,0))*B9</f>
        <v>0</v>
      </c>
      <c r="D24" s="63"/>
      <c r="E24" s="67">
        <f t="shared" si="0"/>
        <v>0</v>
      </c>
    </row>
    <row r="25" spans="1:5">
      <c r="A25" s="120" t="s">
        <v>136</v>
      </c>
      <c r="B25" s="351"/>
      <c r="C25" s="353">
        <f>(IF(B8=3,(IF(B7=2,2,0)),0))*B9</f>
        <v>0</v>
      </c>
      <c r="D25" s="63"/>
      <c r="E25" s="67"/>
    </row>
    <row r="26" spans="1:5">
      <c r="A26" s="120" t="s">
        <v>134</v>
      </c>
      <c r="B26" s="351"/>
      <c r="C26" s="353">
        <f>(IF(B8=2,2,0))*B9</f>
        <v>2</v>
      </c>
      <c r="D26" s="63"/>
      <c r="E26" s="67">
        <f t="shared" si="0"/>
        <v>0</v>
      </c>
    </row>
    <row r="27" spans="1:5">
      <c r="A27" s="58" t="s">
        <v>109</v>
      </c>
      <c r="B27" s="351"/>
      <c r="C27" s="353">
        <f>(IF(B8=2,2,0))*B9</f>
        <v>2</v>
      </c>
      <c r="D27" s="63"/>
      <c r="E27" s="67">
        <f t="shared" si="0"/>
        <v>0</v>
      </c>
    </row>
    <row r="28" spans="1:5">
      <c r="A28" s="58" t="s">
        <v>232</v>
      </c>
      <c r="B28" s="351"/>
      <c r="C28" s="353">
        <f>B9</f>
        <v>1</v>
      </c>
      <c r="D28" s="63"/>
      <c r="E28" s="67">
        <f>C28*D28</f>
        <v>0</v>
      </c>
    </row>
    <row r="29" spans="1:5">
      <c r="A29" s="27" t="s">
        <v>573</v>
      </c>
      <c r="B29" s="28"/>
      <c r="C29" s="159">
        <f>B9</f>
        <v>1</v>
      </c>
      <c r="D29" s="107"/>
      <c r="E29" s="165">
        <f>D29*C29</f>
        <v>0</v>
      </c>
    </row>
    <row r="30" spans="1:5">
      <c r="A30" s="156" t="s">
        <v>586</v>
      </c>
      <c r="B30" s="150"/>
      <c r="C30" s="160">
        <f>B10</f>
        <v>1</v>
      </c>
      <c r="D30" s="152"/>
      <c r="E30" s="166">
        <f>C30*D30</f>
        <v>0</v>
      </c>
    </row>
    <row r="31" spans="1:5" ht="12" thickBot="1">
      <c r="A31" s="27" t="s">
        <v>576</v>
      </c>
      <c r="B31" s="157"/>
      <c r="C31" s="161">
        <f>B11</f>
        <v>50</v>
      </c>
      <c r="D31" s="158"/>
      <c r="E31" s="167">
        <f>D31*C31</f>
        <v>0</v>
      </c>
    </row>
    <row r="32" spans="1:5">
      <c r="D32" s="3" t="s">
        <v>9</v>
      </c>
      <c r="E32" s="3">
        <f>SUM(E14:E31)</f>
        <v>0</v>
      </c>
    </row>
  </sheetData>
  <mergeCells count="12">
    <mergeCell ref="C5:E5"/>
    <mergeCell ref="A1:E1"/>
    <mergeCell ref="A2:E2"/>
    <mergeCell ref="C3:E3"/>
    <mergeCell ref="G3:L4"/>
    <mergeCell ref="C4:E4"/>
    <mergeCell ref="C11:E11"/>
    <mergeCell ref="C6:E6"/>
    <mergeCell ref="C7:E7"/>
    <mergeCell ref="C8:E8"/>
    <mergeCell ref="C9:E9"/>
    <mergeCell ref="C10:E10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zoomScale="115" workbookViewId="0">
      <selection activeCell="B51" sqref="B50:B5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936" t="s">
        <v>161</v>
      </c>
      <c r="B1" s="937"/>
      <c r="C1" s="937"/>
      <c r="D1" s="937"/>
      <c r="E1" s="959"/>
    </row>
    <row r="2" spans="1:12" ht="15" thickBot="1">
      <c r="A2" s="960" t="s">
        <v>3</v>
      </c>
      <c r="B2" s="961"/>
      <c r="C2" s="961"/>
      <c r="D2" s="961"/>
      <c r="E2" s="962"/>
      <c r="G2" s="942" t="s">
        <v>122</v>
      </c>
      <c r="H2" s="943"/>
      <c r="I2" s="943"/>
      <c r="J2" s="943"/>
      <c r="K2" s="943"/>
      <c r="L2" s="944"/>
    </row>
    <row r="3" spans="1:12" ht="12" thickBot="1">
      <c r="A3" s="51" t="s">
        <v>6</v>
      </c>
      <c r="B3" s="48">
        <v>3</v>
      </c>
      <c r="C3" s="938" t="s">
        <v>30</v>
      </c>
      <c r="D3" s="964"/>
      <c r="E3" s="939"/>
      <c r="G3" s="945"/>
      <c r="H3" s="946"/>
      <c r="I3" s="946"/>
      <c r="J3" s="946"/>
      <c r="K3" s="946"/>
      <c r="L3" s="947"/>
    </row>
    <row r="4" spans="1:12">
      <c r="A4" s="52" t="s">
        <v>1</v>
      </c>
      <c r="B4" s="84">
        <v>1</v>
      </c>
      <c r="C4" s="1016" t="s">
        <v>30</v>
      </c>
      <c r="D4" s="1011"/>
      <c r="E4" s="1012"/>
    </row>
    <row r="5" spans="1:12">
      <c r="A5" s="52" t="s">
        <v>60</v>
      </c>
      <c r="B5" s="84">
        <v>25</v>
      </c>
      <c r="C5" s="1010" t="s">
        <v>61</v>
      </c>
      <c r="D5" s="1017"/>
      <c r="E5" s="1018"/>
    </row>
    <row r="6" spans="1:12">
      <c r="A6" s="52" t="s">
        <v>55</v>
      </c>
      <c r="B6" s="54">
        <v>0</v>
      </c>
      <c r="C6" s="1008" t="s">
        <v>33</v>
      </c>
      <c r="D6" s="992"/>
      <c r="E6" s="1009"/>
      <c r="H6" s="86"/>
      <c r="I6" s="86"/>
      <c r="J6" s="86"/>
    </row>
    <row r="7" spans="1:12">
      <c r="A7" s="53" t="s">
        <v>59</v>
      </c>
      <c r="B7" s="85">
        <v>0</v>
      </c>
      <c r="C7" s="1010" t="s">
        <v>33</v>
      </c>
      <c r="D7" s="1011"/>
      <c r="E7" s="1012"/>
      <c r="H7" s="86"/>
      <c r="I7" s="86"/>
      <c r="J7" s="86"/>
    </row>
    <row r="8" spans="1:12">
      <c r="A8" s="53" t="s">
        <v>56</v>
      </c>
      <c r="B8" s="85">
        <v>0</v>
      </c>
      <c r="C8" s="1010" t="s">
        <v>33</v>
      </c>
      <c r="D8" s="1011"/>
      <c r="E8" s="1012"/>
      <c r="H8" s="87"/>
      <c r="I8" s="86"/>
      <c r="J8" s="86"/>
    </row>
    <row r="9" spans="1:12">
      <c r="A9" s="53" t="s">
        <v>57</v>
      </c>
      <c r="B9" s="104">
        <v>1</v>
      </c>
      <c r="C9" s="1008" t="s">
        <v>33</v>
      </c>
      <c r="D9" s="992"/>
      <c r="E9" s="1009"/>
      <c r="H9" s="86"/>
      <c r="I9" s="86"/>
      <c r="J9" s="86"/>
    </row>
    <row r="10" spans="1:12">
      <c r="A10" s="53" t="s">
        <v>162</v>
      </c>
      <c r="B10" s="104">
        <v>1</v>
      </c>
      <c r="C10" s="1028"/>
      <c r="D10" s="1029"/>
      <c r="E10" s="1030"/>
      <c r="H10" s="86"/>
      <c r="I10" s="86"/>
      <c r="J10" s="86"/>
    </row>
    <row r="11" spans="1:12">
      <c r="A11" s="162" t="s">
        <v>53</v>
      </c>
      <c r="B11" s="184">
        <v>1</v>
      </c>
      <c r="C11" s="1025" t="s">
        <v>30</v>
      </c>
      <c r="D11" s="1026"/>
      <c r="E11" s="1027"/>
      <c r="H11" s="86"/>
      <c r="I11" s="86"/>
      <c r="J11" s="86"/>
    </row>
    <row r="12" spans="1:12">
      <c r="A12" s="178" t="s">
        <v>157</v>
      </c>
      <c r="B12" s="184">
        <v>1</v>
      </c>
      <c r="C12" s="185"/>
      <c r="D12" s="185"/>
      <c r="E12" s="186"/>
      <c r="H12" s="86"/>
      <c r="I12" s="86"/>
      <c r="J12" s="86"/>
    </row>
    <row r="13" spans="1:12">
      <c r="A13" s="178" t="s">
        <v>144</v>
      </c>
      <c r="B13" s="184">
        <v>2</v>
      </c>
      <c r="C13" s="185"/>
      <c r="D13" s="185"/>
      <c r="E13" s="186"/>
      <c r="H13" s="86"/>
      <c r="I13" s="86"/>
      <c r="J13" s="86"/>
    </row>
    <row r="14" spans="1:12" ht="12" thickBot="1">
      <c r="A14" s="164" t="s">
        <v>147</v>
      </c>
      <c r="B14" s="105">
        <v>3</v>
      </c>
      <c r="C14" s="1019"/>
      <c r="D14" s="1020"/>
      <c r="E14" s="1021"/>
      <c r="H14" s="86"/>
      <c r="I14" s="86"/>
      <c r="J14" s="86"/>
    </row>
    <row r="15" spans="1:12">
      <c r="A15" s="71" t="s">
        <v>62</v>
      </c>
      <c r="B15" s="72">
        <f>IF(B5=25,IF(B3&lt;0.806,2,IF(B3&lt;1.3,3,IF(B3&lt;1.801,4,IF(B3&lt;2.301,5,IF(B3&lt;2.801,6,7))))),IF(B3&lt;=0.55,2,IF(B3&lt;=0.9,3,IF(B3&lt;=1.25,4,IF(B3&lt;=1.6,5,IF(B3&lt;=1.95,6,7))))))</f>
        <v>7</v>
      </c>
      <c r="C15" s="1022" t="s">
        <v>29</v>
      </c>
      <c r="D15" s="1023"/>
      <c r="E15" s="1024"/>
      <c r="G15" s="88"/>
      <c r="H15" s="86"/>
      <c r="I15" s="86"/>
      <c r="J15" s="86"/>
    </row>
    <row r="16" spans="1:12" ht="12" thickBot="1">
      <c r="H16" s="86"/>
      <c r="I16" s="86"/>
      <c r="J16" s="86"/>
    </row>
    <row r="17" spans="1:10" ht="13.5" thickBot="1">
      <c r="A17" s="73" t="s">
        <v>7</v>
      </c>
      <c r="B17" s="74" t="s">
        <v>0</v>
      </c>
      <c r="C17" s="75" t="s">
        <v>4</v>
      </c>
      <c r="D17" s="76" t="s">
        <v>8</v>
      </c>
      <c r="H17" s="86"/>
      <c r="I17" s="86"/>
      <c r="J17" s="86"/>
    </row>
    <row r="18" spans="1:10">
      <c r="A18" s="93" t="s">
        <v>65</v>
      </c>
      <c r="B18" s="94">
        <f>(IF(B15=2,((B4+0.3)*2),IF(B15=3,((B4+0.3)*2),IF(B15=4,((B4+0.3)*4),IF(B15=5,((B4+0.3)*3),((B4+0.3)*4))))))*B11</f>
        <v>5.2</v>
      </c>
      <c r="C18" s="57"/>
      <c r="D18" s="174">
        <f t="shared" ref="D18:D47" si="0">B18*C18</f>
        <v>0</v>
      </c>
      <c r="H18" s="86"/>
      <c r="I18" s="86"/>
      <c r="J18" s="86"/>
    </row>
    <row r="19" spans="1:10">
      <c r="A19" s="95" t="s">
        <v>66</v>
      </c>
      <c r="B19" s="97">
        <f>IF(B8=1,2*B11,0)</f>
        <v>0</v>
      </c>
      <c r="C19" s="63"/>
      <c r="D19" s="79">
        <f t="shared" si="0"/>
        <v>0</v>
      </c>
    </row>
    <row r="20" spans="1:10">
      <c r="A20" s="95" t="s">
        <v>67</v>
      </c>
      <c r="B20" s="97">
        <f>B15*B11</f>
        <v>7</v>
      </c>
      <c r="C20" s="63"/>
      <c r="D20" s="79">
        <f t="shared" si="0"/>
        <v>0</v>
      </c>
    </row>
    <row r="21" spans="1:10">
      <c r="A21" s="189" t="s">
        <v>158</v>
      </c>
      <c r="B21" s="97">
        <f>B15*B11</f>
        <v>7</v>
      </c>
      <c r="C21" s="63"/>
      <c r="D21" s="79">
        <f t="shared" si="0"/>
        <v>0</v>
      </c>
    </row>
    <row r="22" spans="1:10">
      <c r="A22" s="95" t="s">
        <v>68</v>
      </c>
      <c r="B22" s="97">
        <f>(B3-0.002)*B11</f>
        <v>2.9980000000000002</v>
      </c>
      <c r="C22" s="63"/>
      <c r="D22" s="79">
        <f t="shared" si="0"/>
        <v>0</v>
      </c>
    </row>
    <row r="23" spans="1:10">
      <c r="A23" s="98" t="s">
        <v>69</v>
      </c>
      <c r="B23" s="97">
        <f>B22</f>
        <v>2.9980000000000002</v>
      </c>
      <c r="C23" s="63"/>
      <c r="D23" s="79">
        <f t="shared" si="0"/>
        <v>0</v>
      </c>
    </row>
    <row r="24" spans="1:10">
      <c r="A24" s="98" t="s">
        <v>70</v>
      </c>
      <c r="B24" s="97">
        <f>IF(B5=16,B11*B15,0)</f>
        <v>0</v>
      </c>
      <c r="C24" s="63"/>
      <c r="D24" s="79">
        <f t="shared" si="0"/>
        <v>0</v>
      </c>
      <c r="G24" s="88"/>
    </row>
    <row r="25" spans="1:10">
      <c r="A25" s="98" t="s">
        <v>71</v>
      </c>
      <c r="B25" s="97">
        <f>IF(B5=25,B11*B15,0)</f>
        <v>7</v>
      </c>
      <c r="C25" s="63"/>
      <c r="D25" s="79">
        <f>B25*C25</f>
        <v>0</v>
      </c>
      <c r="G25" s="88"/>
    </row>
    <row r="26" spans="1:10">
      <c r="A26" s="98" t="s">
        <v>72</v>
      </c>
      <c r="B26" s="97">
        <f>(IF(B3&lt;1.5,2,IF(B3&lt;1.8,3,IF(B3&lt;2.3,4,IF(B3&lt;2.8,5,6)))))*B11</f>
        <v>6</v>
      </c>
      <c r="C26" s="63"/>
      <c r="D26" s="79">
        <f t="shared" si="0"/>
        <v>0</v>
      </c>
    </row>
    <row r="27" spans="1:10">
      <c r="A27" s="98" t="s">
        <v>73</v>
      </c>
      <c r="B27" s="97">
        <f>(IF(B9=0,0,IF(B3&lt;1.5,2,IF(B3&lt;1.8,3,IF(B3&lt;2.3,4,IF(B3&lt;2.8,5,6))))))*B11</f>
        <v>6</v>
      </c>
      <c r="C27" s="63"/>
      <c r="D27" s="79">
        <f t="shared" si="0"/>
        <v>0</v>
      </c>
    </row>
    <row r="28" spans="1:10">
      <c r="A28" s="99" t="s">
        <v>74</v>
      </c>
      <c r="B28" s="89">
        <f>2*B11</f>
        <v>2</v>
      </c>
      <c r="C28" s="63"/>
      <c r="D28" s="79">
        <f t="shared" si="0"/>
        <v>0</v>
      </c>
    </row>
    <row r="29" spans="1:10">
      <c r="A29" s="99" t="s">
        <v>75</v>
      </c>
      <c r="B29" s="89">
        <f>B28</f>
        <v>2</v>
      </c>
      <c r="C29" s="63"/>
      <c r="D29" s="79">
        <f t="shared" si="0"/>
        <v>0</v>
      </c>
    </row>
    <row r="30" spans="1:10">
      <c r="A30" s="190" t="s">
        <v>524</v>
      </c>
      <c r="B30" s="89">
        <f>(IF(B5=25,IF(B9=1,CEILING(((B4-0.025)/0.0215)*B3,1)+B3*2,CEILING(((B4-0.025)/0.0215)*B3,1)),IF(B9=1,CEILING(((B4-0.025)/0.0125)*B3,1)+B3*2,CEILING(((B4-0.025)/0.0125)*B3,1)))+0.2)*B11</f>
        <v>143.19999999999999</v>
      </c>
      <c r="C30" s="63"/>
      <c r="D30" s="79">
        <f t="shared" si="0"/>
        <v>0</v>
      </c>
    </row>
    <row r="31" spans="1:10">
      <c r="A31" s="100" t="s">
        <v>76</v>
      </c>
      <c r="B31" s="89">
        <f>IF(B5=16,(B15*(B4+0.12))*B11,0)</f>
        <v>0</v>
      </c>
      <c r="C31" s="63"/>
      <c r="D31" s="79">
        <f t="shared" si="0"/>
        <v>0</v>
      </c>
      <c r="G31" s="88"/>
    </row>
    <row r="32" spans="1:10">
      <c r="A32" s="99" t="s">
        <v>77</v>
      </c>
      <c r="B32" s="89">
        <f>IF(B5=25,(B15*(B4+0.3))*B11,0)</f>
        <v>9.1</v>
      </c>
      <c r="C32" s="63"/>
      <c r="D32" s="79">
        <f t="shared" si="0"/>
        <v>0</v>
      </c>
      <c r="G32" s="88"/>
    </row>
    <row r="33" spans="1:5">
      <c r="A33" s="190" t="s">
        <v>159</v>
      </c>
      <c r="B33" s="89">
        <f>(B3)*B11</f>
        <v>3</v>
      </c>
      <c r="C33" s="63"/>
      <c r="D33" s="79">
        <f t="shared" si="0"/>
        <v>0</v>
      </c>
    </row>
    <row r="34" spans="1:5">
      <c r="A34" s="190" t="s">
        <v>166</v>
      </c>
      <c r="B34" s="89">
        <f>IF(B10&gt;0,(IF(B3&lt;1.5,2,IF(B3&lt;1.8,3,IF(B3&lt;2.3,4,IF(B3&lt;2.8,5,6)))))*B10,0)</f>
        <v>6</v>
      </c>
      <c r="C34" s="63"/>
      <c r="D34" s="187">
        <f>B34*C34</f>
        <v>0</v>
      </c>
    </row>
    <row r="35" spans="1:5">
      <c r="A35" s="190" t="s">
        <v>167</v>
      </c>
      <c r="B35" s="89">
        <f>B11-B12</f>
        <v>0</v>
      </c>
      <c r="C35" s="63"/>
      <c r="D35" s="187">
        <f>B35*C35</f>
        <v>0</v>
      </c>
    </row>
    <row r="36" spans="1:5">
      <c r="A36" s="190" t="s">
        <v>233</v>
      </c>
      <c r="B36" s="89">
        <f>B12</f>
        <v>1</v>
      </c>
      <c r="C36" s="63"/>
      <c r="D36" s="187">
        <f>B36*C36</f>
        <v>0</v>
      </c>
    </row>
    <row r="37" spans="1:5">
      <c r="A37" s="190" t="s">
        <v>169</v>
      </c>
      <c r="B37" s="89">
        <f>B11-B12</f>
        <v>0</v>
      </c>
      <c r="C37" s="63"/>
      <c r="D37" s="187">
        <f>B37*C37</f>
        <v>0</v>
      </c>
    </row>
    <row r="38" spans="1:5">
      <c r="A38" s="189" t="s">
        <v>160</v>
      </c>
      <c r="B38" s="89">
        <f>B15*B11</f>
        <v>7</v>
      </c>
      <c r="C38" s="63"/>
      <c r="D38" s="79">
        <f t="shared" si="0"/>
        <v>0</v>
      </c>
    </row>
    <row r="39" spans="1:5">
      <c r="A39" s="189" t="s">
        <v>170</v>
      </c>
      <c r="B39" s="89">
        <f>B11*2+(B11-B12)*2</f>
        <v>2</v>
      </c>
      <c r="C39" s="63"/>
      <c r="D39" s="79">
        <f t="shared" si="0"/>
        <v>0</v>
      </c>
    </row>
    <row r="40" spans="1:5">
      <c r="A40" s="189" t="s">
        <v>171</v>
      </c>
      <c r="B40" s="89">
        <f>B11*2</f>
        <v>2</v>
      </c>
      <c r="C40" s="63"/>
      <c r="D40" s="187">
        <f>B40*C40</f>
        <v>0</v>
      </c>
    </row>
    <row r="41" spans="1:5">
      <c r="A41" s="156" t="s">
        <v>163</v>
      </c>
      <c r="B41" s="89">
        <f>B13</f>
        <v>2</v>
      </c>
      <c r="C41" s="63"/>
      <c r="D41" s="187">
        <f>B41*C41</f>
        <v>0</v>
      </c>
    </row>
    <row r="42" spans="1:5">
      <c r="A42" s="156" t="s">
        <v>172</v>
      </c>
      <c r="B42" s="90">
        <f>B11</f>
        <v>1</v>
      </c>
      <c r="C42" s="77"/>
      <c r="D42" s="187">
        <f>B42*C42</f>
        <v>0</v>
      </c>
    </row>
    <row r="43" spans="1:5" ht="12" thickBot="1">
      <c r="A43" s="35" t="s">
        <v>173</v>
      </c>
      <c r="B43" s="188">
        <f>B14</f>
        <v>3</v>
      </c>
      <c r="C43" s="59"/>
      <c r="D43" s="187">
        <f>B43*C43</f>
        <v>0</v>
      </c>
    </row>
    <row r="44" spans="1:5" ht="12.75" customHeight="1">
      <c r="A44" s="101" t="s">
        <v>78</v>
      </c>
      <c r="B44" s="91">
        <f>IF(B6=1,4*B11,0)</f>
        <v>0</v>
      </c>
      <c r="C44" s="78"/>
      <c r="D44" s="81">
        <f t="shared" si="0"/>
        <v>0</v>
      </c>
      <c r="E44" s="1013" t="s">
        <v>54</v>
      </c>
    </row>
    <row r="45" spans="1:5" ht="13.5" customHeight="1">
      <c r="A45" s="99" t="s">
        <v>79</v>
      </c>
      <c r="B45" s="89">
        <f>IF(B7=1,0,IF(B6=1,2*B11,0))</f>
        <v>0</v>
      </c>
      <c r="C45" s="63"/>
      <c r="D45" s="80">
        <f t="shared" si="0"/>
        <v>0</v>
      </c>
      <c r="E45" s="1014"/>
    </row>
    <row r="46" spans="1:5">
      <c r="A46" s="99" t="s">
        <v>80</v>
      </c>
      <c r="B46" s="89">
        <f>IF(B6=1,B11*2,0)</f>
        <v>0</v>
      </c>
      <c r="C46" s="63"/>
      <c r="D46" s="80">
        <f t="shared" si="0"/>
        <v>0</v>
      </c>
      <c r="E46" s="1014"/>
    </row>
    <row r="47" spans="1:5" ht="14.25" customHeight="1" thickBot="1">
      <c r="A47" s="102" t="s">
        <v>81</v>
      </c>
      <c r="B47" s="90">
        <f>IF(B6=1,(B4*2+0.2)*B11,0)</f>
        <v>0</v>
      </c>
      <c r="C47" s="77"/>
      <c r="D47" s="80">
        <f t="shared" si="0"/>
        <v>0</v>
      </c>
      <c r="E47" s="1015"/>
    </row>
    <row r="48" spans="1:5">
      <c r="A48" s="101" t="s">
        <v>82</v>
      </c>
      <c r="B48" s="91">
        <f>IF(B7=1,2*B11,0)</f>
        <v>0</v>
      </c>
      <c r="C48" s="78"/>
      <c r="D48" s="82">
        <f>B48*C48</f>
        <v>0</v>
      </c>
      <c r="E48" s="1013" t="s">
        <v>58</v>
      </c>
    </row>
    <row r="49" spans="1:5">
      <c r="A49" s="99" t="s">
        <v>83</v>
      </c>
      <c r="B49" s="89">
        <f>IF(B7=1,IF(B6=1,2*B11,0),0)</f>
        <v>0</v>
      </c>
      <c r="C49" s="63"/>
      <c r="D49" s="175">
        <f>B49*C49</f>
        <v>0</v>
      </c>
      <c r="E49" s="1014"/>
    </row>
    <row r="50" spans="1:5">
      <c r="A50" s="99" t="s">
        <v>64</v>
      </c>
      <c r="B50" s="89">
        <f>B48</f>
        <v>0</v>
      </c>
      <c r="C50" s="63"/>
      <c r="D50" s="175">
        <f>B50*C50</f>
        <v>0</v>
      </c>
      <c r="E50" s="1014"/>
    </row>
    <row r="51" spans="1:5" ht="12" thickBot="1">
      <c r="A51" s="103" t="s">
        <v>63</v>
      </c>
      <c r="B51" s="92">
        <f>IF(B7=1,B11,0)</f>
        <v>0</v>
      </c>
      <c r="C51" s="68"/>
      <c r="D51" s="83">
        <f>B51*C51</f>
        <v>0</v>
      </c>
      <c r="E51" s="1015"/>
    </row>
    <row r="52" spans="1:5">
      <c r="C52" s="3" t="s">
        <v>9</v>
      </c>
      <c r="D52" s="3">
        <f>SUM(D18:D39)</f>
        <v>0</v>
      </c>
    </row>
  </sheetData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3"/>
  <sheetViews>
    <sheetView zoomScale="115" workbookViewId="0">
      <selection activeCell="A28" sqref="A28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936" t="s">
        <v>84</v>
      </c>
      <c r="B1" s="937"/>
      <c r="C1" s="937"/>
      <c r="D1" s="959"/>
    </row>
    <row r="2" spans="1:10" ht="15" thickBot="1">
      <c r="A2" s="960" t="s">
        <v>3</v>
      </c>
      <c r="B2" s="961"/>
      <c r="C2" s="961"/>
      <c r="D2" s="962"/>
    </row>
    <row r="3" spans="1:10">
      <c r="A3" s="51" t="s">
        <v>6</v>
      </c>
      <c r="B3" s="48">
        <v>0.82</v>
      </c>
      <c r="C3" s="938" t="s">
        <v>30</v>
      </c>
      <c r="D3" s="939"/>
    </row>
    <row r="4" spans="1:10">
      <c r="A4" s="52" t="s">
        <v>1</v>
      </c>
      <c r="B4" s="84">
        <v>1.42</v>
      </c>
      <c r="C4" s="1016" t="s">
        <v>30</v>
      </c>
      <c r="D4" s="1012"/>
    </row>
    <row r="5" spans="1:10">
      <c r="A5" s="52" t="s">
        <v>55</v>
      </c>
      <c r="B5" s="84">
        <v>1</v>
      </c>
      <c r="C5" s="1010" t="s">
        <v>33</v>
      </c>
      <c r="D5" s="1012"/>
      <c r="G5" s="86"/>
      <c r="H5" s="86"/>
      <c r="I5" s="86"/>
    </row>
    <row r="6" spans="1:10">
      <c r="A6" s="53" t="s">
        <v>56</v>
      </c>
      <c r="B6" s="104">
        <v>1</v>
      </c>
      <c r="C6" s="1008" t="s">
        <v>33</v>
      </c>
      <c r="D6" s="1009"/>
      <c r="G6" s="87"/>
      <c r="H6" s="86"/>
      <c r="I6" s="86"/>
    </row>
    <row r="7" spans="1:10">
      <c r="A7" s="53" t="s">
        <v>57</v>
      </c>
      <c r="B7" s="85">
        <v>1</v>
      </c>
      <c r="C7" s="1010" t="s">
        <v>33</v>
      </c>
      <c r="D7" s="1012"/>
      <c r="G7" s="86"/>
      <c r="H7" s="86"/>
      <c r="I7" s="86"/>
    </row>
    <row r="8" spans="1:10">
      <c r="A8" s="202" t="s">
        <v>53</v>
      </c>
      <c r="B8" s="56">
        <v>25</v>
      </c>
      <c r="C8" s="1035" t="s">
        <v>30</v>
      </c>
      <c r="D8" s="1036"/>
      <c r="G8" s="86"/>
      <c r="H8" s="86"/>
      <c r="I8" s="86"/>
    </row>
    <row r="9" spans="1:10">
      <c r="A9" s="201" t="s">
        <v>157</v>
      </c>
      <c r="B9" s="203">
        <v>1</v>
      </c>
      <c r="C9" s="204"/>
      <c r="D9" s="204"/>
      <c r="E9" s="199"/>
      <c r="H9" s="86"/>
      <c r="I9" s="86"/>
      <c r="J9" s="86"/>
    </row>
    <row r="10" spans="1:10">
      <c r="A10" s="178" t="s">
        <v>144</v>
      </c>
      <c r="B10" s="184">
        <v>2</v>
      </c>
      <c r="C10" s="185"/>
      <c r="D10" s="185"/>
      <c r="E10" s="199"/>
      <c r="H10" s="86"/>
      <c r="I10" s="86"/>
      <c r="J10" s="86"/>
    </row>
    <row r="11" spans="1:10" ht="12" thickBot="1">
      <c r="A11" s="164" t="s">
        <v>147</v>
      </c>
      <c r="B11" s="105">
        <v>3</v>
      </c>
      <c r="C11" s="197"/>
      <c r="D11" s="198"/>
      <c r="E11" s="200"/>
      <c r="H11" s="86"/>
      <c r="I11" s="86"/>
      <c r="J11" s="86"/>
    </row>
    <row r="12" spans="1:10">
      <c r="A12" s="109" t="s">
        <v>87</v>
      </c>
      <c r="B12" s="108">
        <f>IF(B3&lt;=0.69,2,IF(B3&lt;=1.08,3,IF(B3&lt;=1.47,4,IF(B3&lt;=1.86,5,6))))</f>
        <v>3</v>
      </c>
      <c r="C12" s="975" t="s">
        <v>29</v>
      </c>
      <c r="D12" s="975"/>
      <c r="F12" s="88"/>
      <c r="G12" s="86"/>
      <c r="H12" s="86"/>
      <c r="I12" s="86"/>
    </row>
    <row r="13" spans="1:10">
      <c r="A13" s="109" t="s">
        <v>86</v>
      </c>
      <c r="B13" s="108">
        <f>IF(B12=2,2,IF(B12=3,2,IF(B12=4,4,IF(B12=5,3,4))))</f>
        <v>2</v>
      </c>
      <c r="C13" s="975" t="s">
        <v>29</v>
      </c>
      <c r="D13" s="975"/>
      <c r="G13" s="86"/>
      <c r="H13" s="86"/>
      <c r="I13" s="86"/>
    </row>
    <row r="14" spans="1:10" ht="12" thickBot="1">
      <c r="A14" s="1033"/>
      <c r="B14" s="1034"/>
      <c r="C14" s="1034"/>
      <c r="D14" s="1034"/>
      <c r="G14" s="86"/>
      <c r="H14" s="86"/>
      <c r="I14" s="86"/>
    </row>
    <row r="15" spans="1:10" ht="12.75">
      <c r="A15" s="73" t="s">
        <v>7</v>
      </c>
      <c r="B15" s="74" t="s">
        <v>0</v>
      </c>
      <c r="C15" s="75" t="s">
        <v>4</v>
      </c>
      <c r="D15" s="76" t="s">
        <v>8</v>
      </c>
      <c r="G15" s="86"/>
      <c r="H15" s="86"/>
      <c r="I15" s="86"/>
    </row>
    <row r="16" spans="1:10">
      <c r="A16" s="95" t="s">
        <v>92</v>
      </c>
      <c r="B16" s="96">
        <f>(B4+0.3)*B13</f>
        <v>3.44</v>
      </c>
      <c r="C16" s="47"/>
      <c r="D16" s="1">
        <f t="shared" ref="D16:D42" si="0">B16*C16</f>
        <v>0</v>
      </c>
      <c r="G16" s="86"/>
      <c r="H16" s="86"/>
      <c r="I16" s="86"/>
    </row>
    <row r="17" spans="1:6">
      <c r="A17" s="95" t="s">
        <v>66</v>
      </c>
      <c r="B17" s="97">
        <f>IF(B6=1,2*B8,0)</f>
        <v>50</v>
      </c>
      <c r="C17" s="63"/>
      <c r="D17" s="79">
        <f t="shared" si="0"/>
        <v>0</v>
      </c>
    </row>
    <row r="18" spans="1:6">
      <c r="A18" s="95" t="s">
        <v>98</v>
      </c>
      <c r="B18" s="97">
        <f>B12*B8</f>
        <v>75</v>
      </c>
      <c r="C18" s="63"/>
      <c r="D18" s="79">
        <f t="shared" si="0"/>
        <v>0</v>
      </c>
    </row>
    <row r="19" spans="1:6">
      <c r="A19" s="189" t="s">
        <v>158</v>
      </c>
      <c r="B19" s="97">
        <f>B12*B8</f>
        <v>75</v>
      </c>
      <c r="C19" s="63"/>
      <c r="D19" s="79">
        <f t="shared" si="0"/>
        <v>0</v>
      </c>
    </row>
    <row r="20" spans="1:6">
      <c r="A20" s="189" t="s">
        <v>174</v>
      </c>
      <c r="B20" s="97">
        <f>((IF(B3&lt;1.5,2,3))*B8)</f>
        <v>50</v>
      </c>
      <c r="C20" s="63"/>
      <c r="D20" s="187">
        <f t="shared" si="0"/>
        <v>0</v>
      </c>
    </row>
    <row r="21" spans="1:6">
      <c r="A21" s="189" t="s">
        <v>175</v>
      </c>
      <c r="B21" s="97">
        <f>((IF(B3&lt;1.5,2,3))*B8)</f>
        <v>50</v>
      </c>
      <c r="C21" s="63"/>
      <c r="D21" s="187">
        <f t="shared" si="0"/>
        <v>0</v>
      </c>
    </row>
    <row r="22" spans="1:6">
      <c r="A22" s="189" t="s">
        <v>176</v>
      </c>
      <c r="B22" s="97">
        <f>((IF(B3&lt;1.5,2,3))*B8)</f>
        <v>50</v>
      </c>
      <c r="C22" s="63"/>
      <c r="D22" s="79">
        <f t="shared" si="0"/>
        <v>0</v>
      </c>
    </row>
    <row r="23" spans="1:6">
      <c r="A23" s="95" t="s">
        <v>68</v>
      </c>
      <c r="B23" s="97">
        <f>B3*B8</f>
        <v>20.5</v>
      </c>
      <c r="C23" s="63"/>
      <c r="D23" s="79">
        <f t="shared" si="0"/>
        <v>0</v>
      </c>
    </row>
    <row r="24" spans="1:6">
      <c r="A24" s="98" t="s">
        <v>94</v>
      </c>
      <c r="B24" s="97">
        <f>B12*B8</f>
        <v>75</v>
      </c>
      <c r="C24" s="63"/>
      <c r="D24" s="79">
        <f t="shared" si="0"/>
        <v>0</v>
      </c>
      <c r="F24" s="88"/>
    </row>
    <row r="25" spans="1:6">
      <c r="A25" s="98" t="s">
        <v>95</v>
      </c>
      <c r="B25" s="97">
        <f>2*B8</f>
        <v>50</v>
      </c>
      <c r="C25" s="63"/>
      <c r="D25" s="79">
        <f t="shared" si="0"/>
        <v>0</v>
      </c>
    </row>
    <row r="26" spans="1:6">
      <c r="A26" s="98" t="s">
        <v>96</v>
      </c>
      <c r="B26" s="205">
        <f>(IF(B3&lt;0.61,0,IF(B3&lt;1.01,1,IF(B3&lt;1.5,2,IF(B3&lt;1.8,3,4)))))*B8</f>
        <v>25</v>
      </c>
      <c r="C26" s="63"/>
      <c r="D26" s="79">
        <f t="shared" si="0"/>
        <v>0</v>
      </c>
    </row>
    <row r="27" spans="1:6">
      <c r="A27" s="99" t="s">
        <v>97</v>
      </c>
      <c r="B27" s="89">
        <f>2*B8</f>
        <v>50</v>
      </c>
      <c r="C27" s="63"/>
      <c r="D27" s="79">
        <f t="shared" si="0"/>
        <v>0</v>
      </c>
    </row>
    <row r="28" spans="1:6">
      <c r="A28" s="99" t="s">
        <v>93</v>
      </c>
      <c r="B28" s="89">
        <f>B12*(B4+0.3)*B8</f>
        <v>129</v>
      </c>
      <c r="C28" s="63"/>
      <c r="D28" s="79">
        <f t="shared" si="0"/>
        <v>0</v>
      </c>
      <c r="F28" s="88"/>
    </row>
    <row r="29" spans="1:6">
      <c r="A29" s="190" t="s">
        <v>159</v>
      </c>
      <c r="B29" s="89">
        <f>B3*B8</f>
        <v>20.5</v>
      </c>
      <c r="C29" s="63"/>
      <c r="D29" s="79">
        <f t="shared" si="0"/>
        <v>0</v>
      </c>
    </row>
    <row r="30" spans="1:6">
      <c r="A30" s="190" t="s">
        <v>167</v>
      </c>
      <c r="B30" s="89">
        <f>B8-B9</f>
        <v>24</v>
      </c>
      <c r="C30" s="63"/>
      <c r="D30" s="187">
        <f t="shared" si="0"/>
        <v>0</v>
      </c>
    </row>
    <row r="31" spans="1:6">
      <c r="A31" s="190" t="s">
        <v>233</v>
      </c>
      <c r="B31" s="89">
        <f>B9</f>
        <v>1</v>
      </c>
      <c r="C31" s="63"/>
      <c r="D31" s="187">
        <f t="shared" si="0"/>
        <v>0</v>
      </c>
    </row>
    <row r="32" spans="1:6">
      <c r="A32" s="190" t="s">
        <v>169</v>
      </c>
      <c r="B32" s="89">
        <f>B8-B9</f>
        <v>24</v>
      </c>
      <c r="C32" s="63"/>
      <c r="D32" s="187">
        <f t="shared" ref="D32:D38" si="1">B32*C32</f>
        <v>0</v>
      </c>
    </row>
    <row r="33" spans="1:4">
      <c r="A33" s="189" t="s">
        <v>160</v>
      </c>
      <c r="B33" s="89">
        <f>B12*B8</f>
        <v>75</v>
      </c>
      <c r="C33" s="63"/>
      <c r="D33" s="187">
        <f t="shared" si="1"/>
        <v>0</v>
      </c>
    </row>
    <row r="34" spans="1:4">
      <c r="A34" s="189" t="s">
        <v>170</v>
      </c>
      <c r="B34" s="89">
        <f>B8*2+(B8-B9)*2</f>
        <v>98</v>
      </c>
      <c r="C34" s="63"/>
      <c r="D34" s="187">
        <f t="shared" si="1"/>
        <v>0</v>
      </c>
    </row>
    <row r="35" spans="1:4">
      <c r="A35" s="189" t="s">
        <v>171</v>
      </c>
      <c r="B35" s="89">
        <f>B8*2</f>
        <v>50</v>
      </c>
      <c r="C35" s="63"/>
      <c r="D35" s="187">
        <f t="shared" si="1"/>
        <v>0</v>
      </c>
    </row>
    <row r="36" spans="1:4">
      <c r="A36" s="156" t="s">
        <v>163</v>
      </c>
      <c r="B36" s="89">
        <f>B10</f>
        <v>2</v>
      </c>
      <c r="C36" s="63"/>
      <c r="D36" s="187">
        <f t="shared" si="1"/>
        <v>0</v>
      </c>
    </row>
    <row r="37" spans="1:4">
      <c r="A37" s="156" t="s">
        <v>172</v>
      </c>
      <c r="B37" s="90">
        <f>B8</f>
        <v>25</v>
      </c>
      <c r="C37" s="77"/>
      <c r="D37" s="187">
        <f t="shared" si="1"/>
        <v>0</v>
      </c>
    </row>
    <row r="38" spans="1:4" ht="12" thickBot="1">
      <c r="A38" s="35" t="s">
        <v>173</v>
      </c>
      <c r="B38" s="188">
        <f>B11</f>
        <v>3</v>
      </c>
      <c r="C38" s="59"/>
      <c r="D38" s="187">
        <f t="shared" si="1"/>
        <v>0</v>
      </c>
    </row>
    <row r="39" spans="1:4" ht="12" thickBot="1">
      <c r="A39" s="1031" t="s">
        <v>91</v>
      </c>
      <c r="B39" s="1032"/>
      <c r="C39" s="1032"/>
      <c r="D39" s="1032"/>
    </row>
    <row r="40" spans="1:4">
      <c r="A40" s="110" t="s">
        <v>88</v>
      </c>
      <c r="B40" s="60">
        <f>(ROUND((B4-0.025)/0.0215,0))*B8</f>
        <v>1625</v>
      </c>
      <c r="C40" s="57"/>
      <c r="D40" s="82">
        <f t="shared" si="0"/>
        <v>0</v>
      </c>
    </row>
    <row r="41" spans="1:4">
      <c r="A41" s="111" t="s">
        <v>89</v>
      </c>
      <c r="B41" s="61">
        <f>B8</f>
        <v>25</v>
      </c>
      <c r="C41" s="47"/>
      <c r="D41" s="79">
        <f t="shared" si="0"/>
        <v>0</v>
      </c>
    </row>
    <row r="42" spans="1:4" ht="12" thickBot="1">
      <c r="A42" s="112" t="s">
        <v>90</v>
      </c>
      <c r="B42" s="62">
        <f>B8</f>
        <v>25</v>
      </c>
      <c r="C42" s="59"/>
      <c r="D42" s="83">
        <f t="shared" si="0"/>
        <v>0</v>
      </c>
    </row>
    <row r="43" spans="1:4">
      <c r="C43" s="3" t="s">
        <v>9</v>
      </c>
      <c r="D43" s="3">
        <f>SUM(D16:D34)</f>
        <v>0</v>
      </c>
    </row>
  </sheetData>
  <mergeCells count="12">
    <mergeCell ref="A39:D39"/>
    <mergeCell ref="C13:D13"/>
    <mergeCell ref="A14:D14"/>
    <mergeCell ref="C12:D12"/>
    <mergeCell ref="C6:D6"/>
    <mergeCell ref="C7:D7"/>
    <mergeCell ref="C8:D8"/>
    <mergeCell ref="A1:D1"/>
    <mergeCell ref="A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63"/>
  <sheetViews>
    <sheetView zoomScale="130" zoomScaleNormal="130" zoomScaleSheetLayoutView="100" workbookViewId="0">
      <selection activeCell="A2" sqref="A2"/>
    </sheetView>
  </sheetViews>
  <sheetFormatPr defaultRowHeight="11.25"/>
  <cols>
    <col min="1" max="1" width="51.83203125" customWidth="1"/>
    <col min="2" max="2" width="10" customWidth="1"/>
    <col min="3" max="3" width="11.1640625" customWidth="1"/>
    <col min="4" max="4" width="12.1640625" customWidth="1"/>
    <col min="11" max="11" width="11" customWidth="1"/>
  </cols>
  <sheetData>
    <row r="1" spans="1:11" ht="65.25" customHeight="1" thickBot="1">
      <c r="A1" s="1041" t="s">
        <v>835</v>
      </c>
      <c r="B1" s="1042"/>
      <c r="C1" s="1042"/>
      <c r="D1" s="1042"/>
    </row>
    <row r="2" spans="1:11" ht="11.25" customHeight="1">
      <c r="A2" s="129" t="s">
        <v>10</v>
      </c>
      <c r="B2" s="845">
        <v>0</v>
      </c>
      <c r="C2" s="964" t="s">
        <v>125</v>
      </c>
      <c r="D2" s="939"/>
      <c r="F2" s="942" t="s">
        <v>122</v>
      </c>
      <c r="G2" s="943"/>
      <c r="H2" s="943"/>
      <c r="I2" s="943"/>
      <c r="J2" s="943"/>
      <c r="K2" s="944"/>
    </row>
    <row r="3" spans="1:11" ht="12" thickBot="1">
      <c r="A3" s="131" t="s">
        <v>1</v>
      </c>
      <c r="B3" s="850">
        <v>0</v>
      </c>
      <c r="C3" s="1043" t="s">
        <v>30</v>
      </c>
      <c r="D3" s="1044"/>
      <c r="F3" s="945"/>
      <c r="G3" s="946"/>
      <c r="H3" s="946"/>
      <c r="I3" s="946"/>
      <c r="J3" s="946"/>
      <c r="K3" s="947"/>
    </row>
    <row r="4" spans="1:11">
      <c r="A4" s="144" t="s">
        <v>127</v>
      </c>
      <c r="B4" s="853">
        <v>2</v>
      </c>
      <c r="C4" s="1039" t="s">
        <v>128</v>
      </c>
      <c r="D4" s="932"/>
      <c r="F4" s="143"/>
      <c r="G4" s="143"/>
      <c r="H4" s="143"/>
      <c r="I4" s="143"/>
      <c r="J4" s="143"/>
      <c r="K4" s="143"/>
    </row>
    <row r="5" spans="1:11">
      <c r="A5" s="130" t="s">
        <v>123</v>
      </c>
      <c r="B5" s="846">
        <v>0</v>
      </c>
      <c r="C5" s="966" t="s">
        <v>30</v>
      </c>
      <c r="D5" s="967"/>
    </row>
    <row r="6" spans="1:11" ht="12" thickBot="1">
      <c r="A6" s="170" t="s">
        <v>801</v>
      </c>
      <c r="B6" s="171">
        <v>0</v>
      </c>
      <c r="C6" s="1047" t="s">
        <v>30</v>
      </c>
      <c r="D6" s="1048"/>
    </row>
    <row r="7" spans="1:11" ht="12" thickBot="1">
      <c r="A7" s="901" t="s">
        <v>147</v>
      </c>
      <c r="B7" s="172">
        <v>0</v>
      </c>
      <c r="C7" s="1045" t="s">
        <v>30</v>
      </c>
      <c r="D7" s="1046"/>
    </row>
    <row r="8" spans="1:11" ht="12" thickBot="1">
      <c r="A8" s="901" t="s">
        <v>146</v>
      </c>
      <c r="B8" s="172">
        <v>0</v>
      </c>
      <c r="C8" s="1045" t="s">
        <v>30</v>
      </c>
      <c r="D8" s="1046"/>
    </row>
    <row r="9" spans="1:11" ht="12" thickBot="1">
      <c r="A9" s="173" t="s">
        <v>143</v>
      </c>
      <c r="B9" s="179">
        <v>0</v>
      </c>
      <c r="C9" s="1037" t="s">
        <v>30</v>
      </c>
      <c r="D9" s="1038"/>
    </row>
    <row r="10" spans="1:11" ht="12" thickBot="1">
      <c r="A10" s="1040"/>
      <c r="B10" s="1040"/>
      <c r="C10" s="1040"/>
      <c r="D10" s="1040"/>
    </row>
    <row r="11" spans="1:11" ht="12.75">
      <c r="A11" s="116" t="s">
        <v>5</v>
      </c>
      <c r="B11" s="117" t="s">
        <v>0</v>
      </c>
      <c r="C11" s="138" t="s">
        <v>4</v>
      </c>
      <c r="D11" s="855" t="s">
        <v>8</v>
      </c>
      <c r="E11" s="7"/>
      <c r="F11" s="7"/>
      <c r="G11" s="7"/>
      <c r="H11" s="7"/>
      <c r="I11" s="7"/>
      <c r="J11" s="7"/>
      <c r="K11" s="7"/>
    </row>
    <row r="12" spans="1:11">
      <c r="A12" s="9" t="s">
        <v>802</v>
      </c>
      <c r="B12" s="133">
        <f>2*B5*B4</f>
        <v>0</v>
      </c>
      <c r="C12" s="5"/>
      <c r="D12" s="849">
        <f t="shared" ref="D12:D26" si="0">C12*B12</f>
        <v>0</v>
      </c>
    </row>
    <row r="13" spans="1:11">
      <c r="A13" s="9" t="s">
        <v>129</v>
      </c>
      <c r="B13" s="133">
        <f>(B4-1)*B5</f>
        <v>0</v>
      </c>
      <c r="C13" s="5"/>
      <c r="D13" s="849">
        <f t="shared" si="0"/>
        <v>0</v>
      </c>
    </row>
    <row r="14" spans="1:11">
      <c r="A14" s="9" t="s">
        <v>803</v>
      </c>
      <c r="B14" s="133">
        <f>2*B5</f>
        <v>0</v>
      </c>
      <c r="C14" s="5"/>
      <c r="D14" s="849">
        <f t="shared" si="0"/>
        <v>0</v>
      </c>
      <c r="E14" s="86"/>
      <c r="F14" s="86"/>
    </row>
    <row r="15" spans="1:11">
      <c r="A15" s="10" t="s">
        <v>119</v>
      </c>
      <c r="B15" s="134">
        <f>B2*B5</f>
        <v>0</v>
      </c>
      <c r="C15" s="5"/>
      <c r="D15" s="849">
        <f t="shared" si="0"/>
        <v>0</v>
      </c>
    </row>
    <row r="16" spans="1:11">
      <c r="A16" s="9" t="s">
        <v>118</v>
      </c>
      <c r="B16" s="133">
        <f>B15</f>
        <v>0</v>
      </c>
      <c r="C16" s="5"/>
      <c r="D16" s="849">
        <f t="shared" si="0"/>
        <v>0</v>
      </c>
    </row>
    <row r="17" spans="1:11">
      <c r="A17" s="10" t="s">
        <v>804</v>
      </c>
      <c r="B17" s="134">
        <f>B2*B5</f>
        <v>0</v>
      </c>
      <c r="C17" s="5"/>
      <c r="D17" s="849">
        <f t="shared" si="0"/>
        <v>0</v>
      </c>
    </row>
    <row r="18" spans="1:11">
      <c r="A18" s="9" t="s">
        <v>805</v>
      </c>
      <c r="B18" s="133">
        <f>B2*B5</f>
        <v>0</v>
      </c>
      <c r="C18" s="5"/>
      <c r="D18" s="849">
        <f t="shared" si="0"/>
        <v>0</v>
      </c>
    </row>
    <row r="19" spans="1:11">
      <c r="A19" s="10" t="s">
        <v>140</v>
      </c>
      <c r="B19" s="134">
        <f>B5</f>
        <v>0</v>
      </c>
      <c r="C19" s="6"/>
      <c r="D19" s="849">
        <f t="shared" si="0"/>
        <v>0</v>
      </c>
    </row>
    <row r="20" spans="1:11" s="7" customFormat="1" ht="13.5" customHeight="1">
      <c r="A20" s="180" t="s">
        <v>806</v>
      </c>
      <c r="B20" s="181">
        <f>B13</f>
        <v>0</v>
      </c>
      <c r="C20" s="182"/>
      <c r="D20" s="849">
        <f t="shared" si="0"/>
        <v>0</v>
      </c>
      <c r="E20"/>
      <c r="F20"/>
      <c r="G20"/>
      <c r="H20"/>
      <c r="I20"/>
      <c r="J20"/>
      <c r="K20"/>
    </row>
    <row r="21" spans="1:11">
      <c r="A21" s="10" t="s">
        <v>807</v>
      </c>
      <c r="B21" s="134">
        <f>B6</f>
        <v>0</v>
      </c>
      <c r="C21" s="182"/>
      <c r="D21" s="849">
        <f t="shared" si="0"/>
        <v>0</v>
      </c>
    </row>
    <row r="22" spans="1:11">
      <c r="A22" s="10" t="s">
        <v>808</v>
      </c>
      <c r="B22" s="134">
        <f>B5*2</f>
        <v>0</v>
      </c>
      <c r="C22" s="182"/>
      <c r="D22" s="849">
        <f t="shared" si="0"/>
        <v>0</v>
      </c>
    </row>
    <row r="23" spans="1:11">
      <c r="A23" s="180" t="s">
        <v>145</v>
      </c>
      <c r="B23" s="134">
        <f>B8</f>
        <v>0</v>
      </c>
      <c r="C23" s="182"/>
      <c r="D23" s="849">
        <f t="shared" si="0"/>
        <v>0</v>
      </c>
    </row>
    <row r="24" spans="1:11">
      <c r="A24" s="180" t="s">
        <v>148</v>
      </c>
      <c r="B24" s="134">
        <f>B7</f>
        <v>0</v>
      </c>
      <c r="C24" s="182"/>
      <c r="D24" s="849">
        <f t="shared" si="0"/>
        <v>0</v>
      </c>
    </row>
    <row r="25" spans="1:11">
      <c r="A25" s="180" t="s">
        <v>809</v>
      </c>
      <c r="B25" s="134">
        <f>B9</f>
        <v>0</v>
      </c>
      <c r="C25" s="182"/>
      <c r="D25" s="849">
        <f t="shared" si="0"/>
        <v>0</v>
      </c>
    </row>
    <row r="26" spans="1:11" ht="12" thickBot="1">
      <c r="A26" s="35" t="s">
        <v>810</v>
      </c>
      <c r="B26" s="139">
        <f>B9</f>
        <v>0</v>
      </c>
      <c r="C26" s="140"/>
      <c r="D26" s="4">
        <f t="shared" si="0"/>
        <v>0</v>
      </c>
    </row>
    <row r="27" spans="1:11" ht="12.75">
      <c r="C27" s="2" t="s">
        <v>9</v>
      </c>
      <c r="D27">
        <f>SUM(D12:D26)</f>
        <v>0</v>
      </c>
    </row>
    <row r="60" spans="1:4">
      <c r="A60" s="113"/>
      <c r="B60" s="114"/>
      <c r="C60" s="115"/>
      <c r="D60" s="86"/>
    </row>
    <row r="61" spans="1:4">
      <c r="A61" s="113"/>
      <c r="B61" s="114"/>
      <c r="C61" s="115"/>
      <c r="D61" s="86"/>
    </row>
    <row r="62" spans="1:4">
      <c r="A62" s="113"/>
      <c r="B62" s="114"/>
      <c r="C62" s="115"/>
      <c r="D62" s="86"/>
    </row>
    <row r="63" spans="1:4" ht="16.5" customHeight="1"/>
  </sheetData>
  <mergeCells count="11">
    <mergeCell ref="F2:K3"/>
    <mergeCell ref="C9:D9"/>
    <mergeCell ref="C4:D4"/>
    <mergeCell ref="A10:D10"/>
    <mergeCell ref="A1:D1"/>
    <mergeCell ref="C2:D2"/>
    <mergeCell ref="C3:D3"/>
    <mergeCell ref="C5:D5"/>
    <mergeCell ref="C8:D8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6"/>
  <sheetViews>
    <sheetView topLeftCell="A19" zoomScale="123" zoomScaleNormal="130" zoomScaleSheetLayoutView="100" workbookViewId="0">
      <selection activeCell="H37" sqref="H37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050" t="s">
        <v>811</v>
      </c>
      <c r="B1" s="1042"/>
      <c r="C1" s="1042"/>
      <c r="D1" s="1042"/>
    </row>
    <row r="2" spans="1:11" ht="11.25" customHeight="1">
      <c r="A2" s="129" t="s">
        <v>10</v>
      </c>
      <c r="B2" s="845">
        <v>0</v>
      </c>
      <c r="C2" s="964" t="s">
        <v>30</v>
      </c>
      <c r="D2" s="939"/>
      <c r="F2" s="942" t="s">
        <v>122</v>
      </c>
      <c r="G2" s="943"/>
      <c r="H2" s="943"/>
      <c r="I2" s="943"/>
      <c r="J2" s="943"/>
      <c r="K2" s="944"/>
    </row>
    <row r="3" spans="1:11" ht="12" thickBot="1">
      <c r="A3" s="137" t="s">
        <v>1</v>
      </c>
      <c r="B3" s="852">
        <v>0</v>
      </c>
      <c r="C3" s="1047" t="s">
        <v>30</v>
      </c>
      <c r="D3" s="1048"/>
      <c r="F3" s="945"/>
      <c r="G3" s="946"/>
      <c r="H3" s="946"/>
      <c r="I3" s="946"/>
      <c r="J3" s="946"/>
      <c r="K3" s="947"/>
    </row>
    <row r="4" spans="1:11" ht="11.25" customHeight="1">
      <c r="A4" s="136" t="s">
        <v>150</v>
      </c>
      <c r="B4" s="845">
        <v>0</v>
      </c>
      <c r="C4" s="1051" t="s">
        <v>812</v>
      </c>
      <c r="D4" s="923"/>
    </row>
    <row r="5" spans="1:11">
      <c r="A5" s="135" t="s">
        <v>151</v>
      </c>
      <c r="B5" s="846">
        <v>0</v>
      </c>
      <c r="C5" s="1052"/>
      <c r="D5" s="1053"/>
    </row>
    <row r="6" spans="1:11">
      <c r="A6" s="903" t="s">
        <v>156</v>
      </c>
      <c r="B6" s="846">
        <v>0</v>
      </c>
      <c r="C6" s="1054" t="s">
        <v>30</v>
      </c>
      <c r="D6" s="1055"/>
    </row>
    <row r="7" spans="1:11" ht="11.25" customHeight="1" thickBot="1">
      <c r="A7" s="904" t="s">
        <v>813</v>
      </c>
      <c r="B7" s="171">
        <v>0</v>
      </c>
      <c r="C7" s="1054" t="s">
        <v>30</v>
      </c>
      <c r="D7" s="1055"/>
    </row>
    <row r="8" spans="1:11" ht="11.25" customHeight="1">
      <c r="A8" s="905" t="s">
        <v>152</v>
      </c>
      <c r="B8" s="168">
        <v>0</v>
      </c>
      <c r="C8" s="1056" t="s">
        <v>149</v>
      </c>
      <c r="D8" s="1057"/>
    </row>
    <row r="9" spans="1:11">
      <c r="A9" s="135" t="s">
        <v>153</v>
      </c>
      <c r="B9" s="852">
        <v>0</v>
      </c>
      <c r="C9" s="1058"/>
      <c r="D9" s="1059"/>
    </row>
    <row r="10" spans="1:11">
      <c r="A10" s="135" t="s">
        <v>155</v>
      </c>
      <c r="B10" s="852">
        <v>0</v>
      </c>
      <c r="C10" s="1054" t="s">
        <v>30</v>
      </c>
      <c r="D10" s="1055"/>
    </row>
    <row r="11" spans="1:11" ht="11.25" customHeight="1">
      <c r="A11" s="906" t="s">
        <v>154</v>
      </c>
      <c r="B11" s="852">
        <v>0</v>
      </c>
      <c r="C11" s="1062" t="s">
        <v>30</v>
      </c>
      <c r="D11" s="1063"/>
    </row>
    <row r="12" spans="1:11" ht="12" thickBot="1">
      <c r="A12" s="904" t="s">
        <v>814</v>
      </c>
      <c r="B12" s="171">
        <v>0</v>
      </c>
      <c r="C12" s="1062" t="s">
        <v>30</v>
      </c>
      <c r="D12" s="1063"/>
    </row>
    <row r="13" spans="1:11" ht="12" thickBot="1">
      <c r="A13" s="907" t="s">
        <v>147</v>
      </c>
      <c r="B13" s="172">
        <v>0</v>
      </c>
      <c r="C13" s="1060" t="s">
        <v>30</v>
      </c>
      <c r="D13" s="1061"/>
    </row>
    <row r="14" spans="1:11" ht="12" thickBot="1">
      <c r="A14" s="183" t="s">
        <v>146</v>
      </c>
      <c r="B14" s="179">
        <v>0</v>
      </c>
      <c r="C14" s="1060" t="s">
        <v>30</v>
      </c>
      <c r="D14" s="1061"/>
    </row>
    <row r="15" spans="1:11" ht="12" thickBot="1">
      <c r="A15" s="183" t="s">
        <v>143</v>
      </c>
      <c r="B15" s="172">
        <v>0</v>
      </c>
      <c r="C15" s="1060" t="s">
        <v>30</v>
      </c>
      <c r="D15" s="1061"/>
    </row>
    <row r="16" spans="1:11" ht="12" thickBot="1">
      <c r="A16" s="1049"/>
      <c r="B16" s="1049"/>
      <c r="C16" s="1049"/>
      <c r="D16" s="1049"/>
    </row>
    <row r="17" spans="1:11" ht="12.75">
      <c r="A17" s="116" t="s">
        <v>5</v>
      </c>
      <c r="B17" s="117" t="s">
        <v>0</v>
      </c>
      <c r="C17" s="138" t="s">
        <v>4</v>
      </c>
      <c r="D17" s="855" t="s">
        <v>8</v>
      </c>
      <c r="E17" s="7"/>
      <c r="F17" s="7"/>
      <c r="G17" s="7"/>
      <c r="H17" s="7"/>
      <c r="I17" s="7"/>
      <c r="J17" s="7"/>
      <c r="K17" s="7"/>
    </row>
    <row r="18" spans="1:11">
      <c r="A18" s="9" t="s">
        <v>802</v>
      </c>
      <c r="B18" s="133">
        <f>2*(B4+B5+B8+B9)</f>
        <v>0</v>
      </c>
      <c r="C18" s="5"/>
      <c r="D18" s="849">
        <f t="shared" ref="D18:D49" si="0">C18*B18</f>
        <v>0</v>
      </c>
    </row>
    <row r="19" spans="1:11">
      <c r="A19" s="9" t="s">
        <v>815</v>
      </c>
      <c r="B19" s="133">
        <f>(IF(B2&lt;=1,2,IF(B2&lt;=1.5,3,IF(B2&lt;=2,4,IF(B2&lt;=2.5,5,6)))))*(B4+B5)-B21</f>
        <v>0</v>
      </c>
      <c r="C19" s="5"/>
      <c r="D19" s="849">
        <f t="shared" si="0"/>
        <v>0</v>
      </c>
    </row>
    <row r="20" spans="1:11">
      <c r="A20" s="9" t="s">
        <v>816</v>
      </c>
      <c r="B20" s="133">
        <f>(IF(B2&lt;=1,2,IF(B2&lt;=1.5,3,IF(B2&lt;=2,4,IF(B2&lt;=2.5,5,6)))))*(B9+B8)-B22</f>
        <v>0</v>
      </c>
      <c r="C20" s="5"/>
      <c r="D20" s="849">
        <f t="shared" si="0"/>
        <v>0</v>
      </c>
    </row>
    <row r="21" spans="1:11">
      <c r="A21" s="9" t="s">
        <v>817</v>
      </c>
      <c r="B21" s="133">
        <f>(IF(B2&lt;=1,2,IF(B2&lt;=1.5,3,IF(B2&lt;=2,4,IF(B2&lt;=2.5,5,6)))))*(B6)</f>
        <v>0</v>
      </c>
      <c r="C21" s="5"/>
      <c r="D21" s="849">
        <f t="shared" si="0"/>
        <v>0</v>
      </c>
    </row>
    <row r="22" spans="1:11" s="7" customFormat="1" ht="12" customHeight="1">
      <c r="A22" s="9" t="s">
        <v>818</v>
      </c>
      <c r="B22" s="133">
        <f>(IF(B2&lt;=1,2,IF(B2&lt;=1.5,3,IF(B2&lt;=2,4,IF(B2&lt;=2.5,5,6)))))*B11</f>
        <v>0</v>
      </c>
      <c r="C22" s="5"/>
      <c r="D22" s="849">
        <f t="shared" si="0"/>
        <v>0</v>
      </c>
      <c r="E22"/>
      <c r="F22"/>
      <c r="G22"/>
      <c r="H22"/>
      <c r="I22"/>
      <c r="J22"/>
      <c r="K22"/>
    </row>
    <row r="23" spans="1:11">
      <c r="A23" s="9" t="s">
        <v>50</v>
      </c>
      <c r="B23" s="133">
        <f>B2*2*(B5+B9)</f>
        <v>0</v>
      </c>
      <c r="C23" s="5"/>
      <c r="D23" s="849">
        <f t="shared" si="0"/>
        <v>0</v>
      </c>
    </row>
    <row r="24" spans="1:11">
      <c r="A24" s="908" t="s">
        <v>819</v>
      </c>
      <c r="B24" s="134">
        <f>B4+B5</f>
        <v>0</v>
      </c>
      <c r="C24" s="6"/>
      <c r="D24" s="849">
        <f t="shared" si="0"/>
        <v>0</v>
      </c>
    </row>
    <row r="25" spans="1:11">
      <c r="A25" s="908" t="s">
        <v>820</v>
      </c>
      <c r="B25" s="134">
        <f>B4+B5</f>
        <v>0</v>
      </c>
      <c r="C25" s="6"/>
      <c r="D25" s="849">
        <f t="shared" si="0"/>
        <v>0</v>
      </c>
    </row>
    <row r="26" spans="1:11">
      <c r="A26" s="908" t="s">
        <v>120</v>
      </c>
      <c r="B26" s="133">
        <f>(B8+B9)-B10</f>
        <v>0</v>
      </c>
      <c r="C26" s="5"/>
      <c r="D26" s="849">
        <f t="shared" si="0"/>
        <v>0</v>
      </c>
    </row>
    <row r="27" spans="1:11">
      <c r="A27" s="908" t="s">
        <v>121</v>
      </c>
      <c r="B27" s="133">
        <f>B10</f>
        <v>0</v>
      </c>
      <c r="C27" s="5"/>
      <c r="D27" s="849">
        <f t="shared" si="0"/>
        <v>0</v>
      </c>
    </row>
    <row r="28" spans="1:11">
      <c r="A28" s="10" t="s">
        <v>119</v>
      </c>
      <c r="B28" s="133">
        <f>B2*(B4+B5+B8+B9)</f>
        <v>0</v>
      </c>
      <c r="C28" s="5"/>
      <c r="D28" s="849">
        <f t="shared" si="0"/>
        <v>0</v>
      </c>
    </row>
    <row r="29" spans="1:11">
      <c r="A29" s="909" t="s">
        <v>229</v>
      </c>
      <c r="B29" s="133">
        <f>B4+B5</f>
        <v>0</v>
      </c>
      <c r="C29" s="5"/>
      <c r="D29" s="849">
        <f t="shared" si="0"/>
        <v>0</v>
      </c>
    </row>
    <row r="30" spans="1:11">
      <c r="A30" s="9" t="s">
        <v>118</v>
      </c>
      <c r="B30" s="133">
        <f>B28</f>
        <v>0</v>
      </c>
      <c r="C30" s="5"/>
      <c r="D30" s="849">
        <f t="shared" si="0"/>
        <v>0</v>
      </c>
    </row>
    <row r="31" spans="1:11">
      <c r="A31" s="9" t="s">
        <v>821</v>
      </c>
      <c r="B31" s="133">
        <f>B2*B4</f>
        <v>0</v>
      </c>
      <c r="C31" s="5"/>
      <c r="D31" s="849">
        <f t="shared" si="0"/>
        <v>0</v>
      </c>
    </row>
    <row r="32" spans="1:11">
      <c r="A32" s="9" t="s">
        <v>822</v>
      </c>
      <c r="B32" s="133">
        <f>B2*B5</f>
        <v>0</v>
      </c>
      <c r="C32" s="5"/>
      <c r="D32" s="849">
        <f t="shared" si="0"/>
        <v>0</v>
      </c>
    </row>
    <row r="33" spans="1:4">
      <c r="A33" s="9" t="s">
        <v>823</v>
      </c>
      <c r="B33" s="133">
        <f>B2*B8</f>
        <v>0</v>
      </c>
      <c r="C33" s="5"/>
      <c r="D33" s="849">
        <f t="shared" si="0"/>
        <v>0</v>
      </c>
    </row>
    <row r="34" spans="1:4">
      <c r="A34" s="9" t="s">
        <v>824</v>
      </c>
      <c r="B34" s="133">
        <f>B2*B9</f>
        <v>0</v>
      </c>
      <c r="C34" s="5"/>
      <c r="D34" s="849">
        <f t="shared" si="0"/>
        <v>0</v>
      </c>
    </row>
    <row r="35" spans="1:4">
      <c r="A35" s="9" t="s">
        <v>825</v>
      </c>
      <c r="B35" s="133">
        <f>B2*(B4+B5)</f>
        <v>0</v>
      </c>
      <c r="C35" s="5"/>
      <c r="D35" s="849">
        <f t="shared" si="0"/>
        <v>0</v>
      </c>
    </row>
    <row r="36" spans="1:4">
      <c r="A36" s="9" t="s">
        <v>826</v>
      </c>
      <c r="B36" s="133">
        <f>B2*(B8+B9)</f>
        <v>0</v>
      </c>
      <c r="C36" s="5"/>
      <c r="D36" s="849">
        <f t="shared" si="0"/>
        <v>0</v>
      </c>
    </row>
    <row r="37" spans="1:4">
      <c r="A37" s="10" t="s">
        <v>804</v>
      </c>
      <c r="B37" s="133">
        <f>B2*(B4+B5+B8+B9)</f>
        <v>0</v>
      </c>
      <c r="C37" s="5"/>
      <c r="D37" s="849">
        <f t="shared" si="0"/>
        <v>0</v>
      </c>
    </row>
    <row r="38" spans="1:4">
      <c r="A38" s="10" t="s">
        <v>827</v>
      </c>
      <c r="B38" s="134">
        <f>B2*(B4+B5)</f>
        <v>0</v>
      </c>
      <c r="C38" s="8"/>
      <c r="D38" s="849">
        <f t="shared" si="0"/>
        <v>0</v>
      </c>
    </row>
    <row r="39" spans="1:4">
      <c r="A39" s="9" t="s">
        <v>805</v>
      </c>
      <c r="B39" s="134">
        <f>B2*(B8+B9)</f>
        <v>0</v>
      </c>
      <c r="C39" s="5"/>
      <c r="D39" s="849">
        <f t="shared" si="0"/>
        <v>0</v>
      </c>
    </row>
    <row r="40" spans="1:4">
      <c r="A40" s="10" t="s">
        <v>139</v>
      </c>
      <c r="B40" s="134">
        <f>B4+B5</f>
        <v>0</v>
      </c>
      <c r="C40" s="6"/>
      <c r="D40" s="849">
        <f t="shared" si="0"/>
        <v>0</v>
      </c>
    </row>
    <row r="41" spans="1:4">
      <c r="A41" s="10" t="s">
        <v>140</v>
      </c>
      <c r="B41" s="134">
        <f>B8+B9</f>
        <v>0</v>
      </c>
      <c r="C41" s="6"/>
      <c r="D41" s="849">
        <f t="shared" si="0"/>
        <v>0</v>
      </c>
    </row>
    <row r="42" spans="1:4">
      <c r="A42" s="10" t="s">
        <v>828</v>
      </c>
      <c r="B42" s="134">
        <f>B40</f>
        <v>0</v>
      </c>
      <c r="C42" s="6"/>
      <c r="D42" s="849">
        <f t="shared" si="0"/>
        <v>0</v>
      </c>
    </row>
    <row r="43" spans="1:4">
      <c r="A43" s="10" t="s">
        <v>829</v>
      </c>
      <c r="B43" s="134">
        <f>B7</f>
        <v>0</v>
      </c>
      <c r="C43" s="6"/>
      <c r="D43" s="849">
        <f t="shared" si="0"/>
        <v>0</v>
      </c>
    </row>
    <row r="44" spans="1:4">
      <c r="A44" s="10" t="s">
        <v>807</v>
      </c>
      <c r="B44" s="134">
        <f>B12</f>
        <v>0</v>
      </c>
      <c r="C44" s="6"/>
      <c r="D44" s="849">
        <f t="shared" si="0"/>
        <v>0</v>
      </c>
    </row>
    <row r="45" spans="1:4">
      <c r="A45" s="10" t="s">
        <v>808</v>
      </c>
      <c r="B45" s="134">
        <f>B41</f>
        <v>0</v>
      </c>
      <c r="C45" s="6"/>
      <c r="D45" s="849">
        <f t="shared" si="0"/>
        <v>0</v>
      </c>
    </row>
    <row r="46" spans="1:4">
      <c r="A46" s="180" t="s">
        <v>145</v>
      </c>
      <c r="B46" s="134">
        <f>B14</f>
        <v>0</v>
      </c>
      <c r="C46" s="6"/>
      <c r="D46" s="849">
        <f t="shared" si="0"/>
        <v>0</v>
      </c>
    </row>
    <row r="47" spans="1:4">
      <c r="A47" s="180" t="s">
        <v>148</v>
      </c>
      <c r="B47" s="134">
        <f>B13</f>
        <v>0</v>
      </c>
      <c r="C47" s="6"/>
      <c r="D47" s="849">
        <f t="shared" si="0"/>
        <v>0</v>
      </c>
    </row>
    <row r="48" spans="1:4">
      <c r="A48" s="180" t="s">
        <v>809</v>
      </c>
      <c r="B48" s="181">
        <f>B15</f>
        <v>0</v>
      </c>
      <c r="C48" s="182"/>
      <c r="D48" s="849">
        <f t="shared" si="0"/>
        <v>0</v>
      </c>
    </row>
    <row r="49" spans="1:4" ht="12" thickBot="1">
      <c r="A49" s="35" t="s">
        <v>810</v>
      </c>
      <c r="B49" s="139">
        <f>B15</f>
        <v>0</v>
      </c>
      <c r="C49" s="140"/>
      <c r="D49" s="849">
        <f t="shared" si="0"/>
        <v>0</v>
      </c>
    </row>
    <row r="50" spans="1:4" ht="12.75">
      <c r="C50" s="2" t="s">
        <v>9</v>
      </c>
      <c r="D50">
        <f>SUM(D18:D49)</f>
        <v>0</v>
      </c>
    </row>
    <row r="63" spans="1:4">
      <c r="A63" s="113"/>
      <c r="B63" s="114"/>
      <c r="C63" s="115"/>
      <c r="D63" s="86"/>
    </row>
    <row r="64" spans="1:4">
      <c r="A64" s="113"/>
      <c r="B64" s="114"/>
      <c r="C64" s="115"/>
      <c r="D64" s="86"/>
    </row>
    <row r="65" spans="1:4">
      <c r="A65" s="113"/>
      <c r="B65" s="114"/>
      <c r="C65" s="115"/>
      <c r="D65" s="86"/>
    </row>
    <row r="66" spans="1:4" ht="16.5" customHeight="1"/>
  </sheetData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2"/>
  <sheetViews>
    <sheetView zoomScale="130" zoomScaleNormal="130" zoomScaleSheetLayoutView="100" workbookViewId="0">
      <selection activeCell="H22" sqref="H22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041" t="s">
        <v>830</v>
      </c>
      <c r="B1" s="1042"/>
      <c r="C1" s="1042"/>
      <c r="D1" s="1042"/>
    </row>
    <row r="2" spans="1:11" ht="11.25" customHeight="1">
      <c r="A2" s="129" t="s">
        <v>10</v>
      </c>
      <c r="B2" s="863">
        <v>0</v>
      </c>
      <c r="C2" s="964" t="s">
        <v>30</v>
      </c>
      <c r="D2" s="939"/>
      <c r="F2" s="942" t="s">
        <v>122</v>
      </c>
      <c r="G2" s="943"/>
      <c r="H2" s="943"/>
      <c r="I2" s="943"/>
      <c r="J2" s="943"/>
      <c r="K2" s="944"/>
    </row>
    <row r="3" spans="1:11" ht="12" thickBot="1">
      <c r="A3" s="131" t="s">
        <v>1</v>
      </c>
      <c r="B3" s="866">
        <v>0</v>
      </c>
      <c r="C3" s="1043" t="s">
        <v>30</v>
      </c>
      <c r="D3" s="1044"/>
      <c r="F3" s="945"/>
      <c r="G3" s="946"/>
      <c r="H3" s="946"/>
      <c r="I3" s="946"/>
      <c r="J3" s="946"/>
      <c r="K3" s="947"/>
    </row>
    <row r="4" spans="1:11" ht="11.25" customHeight="1">
      <c r="A4" s="144" t="s">
        <v>831</v>
      </c>
      <c r="B4" s="867">
        <v>0</v>
      </c>
      <c r="C4" s="1039" t="s">
        <v>30</v>
      </c>
      <c r="D4" s="932"/>
    </row>
    <row r="5" spans="1:11" ht="12" thickBot="1">
      <c r="A5" s="170" t="s">
        <v>801</v>
      </c>
      <c r="B5" s="865">
        <v>0</v>
      </c>
      <c r="C5" s="1047" t="s">
        <v>30</v>
      </c>
      <c r="D5" s="1048"/>
    </row>
    <row r="6" spans="1:11" ht="12" thickBot="1">
      <c r="A6" s="901" t="s">
        <v>147</v>
      </c>
      <c r="B6" s="902">
        <v>0</v>
      </c>
      <c r="C6" s="1060" t="s">
        <v>30</v>
      </c>
      <c r="D6" s="1061"/>
    </row>
    <row r="7" spans="1:11" ht="12" thickBot="1">
      <c r="A7" s="173" t="s">
        <v>146</v>
      </c>
      <c r="B7" s="179">
        <v>0</v>
      </c>
      <c r="C7" s="1060" t="s">
        <v>30</v>
      </c>
      <c r="D7" s="1061"/>
    </row>
    <row r="8" spans="1:11" ht="11.25" customHeight="1" thickBot="1">
      <c r="A8" s="173" t="s">
        <v>143</v>
      </c>
      <c r="B8" s="902">
        <v>0</v>
      </c>
      <c r="C8" s="1060" t="s">
        <v>30</v>
      </c>
      <c r="D8" s="1061"/>
    </row>
    <row r="9" spans="1:11" ht="12" thickBot="1">
      <c r="A9" s="1040"/>
      <c r="B9" s="1040"/>
      <c r="C9" s="1040"/>
      <c r="D9" s="1040"/>
    </row>
    <row r="10" spans="1:11" ht="12.75">
      <c r="A10" s="116" t="s">
        <v>5</v>
      </c>
      <c r="B10" s="117" t="s">
        <v>0</v>
      </c>
      <c r="C10" s="138" t="s">
        <v>4</v>
      </c>
      <c r="D10" s="868" t="s">
        <v>8</v>
      </c>
      <c r="E10" s="7"/>
      <c r="F10" s="7"/>
      <c r="G10" s="7"/>
      <c r="H10" s="7"/>
      <c r="I10" s="7"/>
      <c r="J10" s="7"/>
      <c r="K10" s="7"/>
    </row>
    <row r="11" spans="1:11">
      <c r="A11" s="9" t="s">
        <v>802</v>
      </c>
      <c r="B11" s="133">
        <f>4*B4</f>
        <v>0</v>
      </c>
      <c r="C11" s="5"/>
      <c r="D11" s="862">
        <f t="shared" ref="D11:D24" si="0">C11*B11</f>
        <v>0</v>
      </c>
    </row>
    <row r="12" spans="1:11">
      <c r="A12" s="10" t="s">
        <v>832</v>
      </c>
      <c r="B12" s="910">
        <f>B4</f>
        <v>0</v>
      </c>
      <c r="C12" s="141"/>
      <c r="D12" s="862">
        <f t="shared" si="0"/>
        <v>0</v>
      </c>
    </row>
    <row r="13" spans="1:11" s="7" customFormat="1" ht="12.75" customHeight="1">
      <c r="A13" s="9" t="s">
        <v>833</v>
      </c>
      <c r="B13" s="133">
        <f>B12</f>
        <v>0</v>
      </c>
      <c r="C13" s="142"/>
      <c r="D13" s="862">
        <f t="shared" si="0"/>
        <v>0</v>
      </c>
      <c r="E13" s="86"/>
      <c r="F13" s="86"/>
      <c r="G13"/>
      <c r="H13"/>
      <c r="I13"/>
      <c r="J13"/>
      <c r="K13"/>
    </row>
    <row r="14" spans="1:11">
      <c r="A14" s="10" t="s">
        <v>119</v>
      </c>
      <c r="B14" s="134">
        <f>2*B2*B4</f>
        <v>0</v>
      </c>
      <c r="C14" s="5"/>
      <c r="D14" s="862">
        <f t="shared" si="0"/>
        <v>0</v>
      </c>
    </row>
    <row r="15" spans="1:11">
      <c r="A15" s="9" t="s">
        <v>118</v>
      </c>
      <c r="B15" s="133">
        <f>B14</f>
        <v>0</v>
      </c>
      <c r="C15" s="5"/>
      <c r="D15" s="862">
        <f t="shared" si="0"/>
        <v>0</v>
      </c>
    </row>
    <row r="16" spans="1:11">
      <c r="A16" s="10" t="s">
        <v>804</v>
      </c>
      <c r="B16" s="134">
        <f>2*B2*B4</f>
        <v>0</v>
      </c>
      <c r="C16" s="5"/>
      <c r="D16" s="862">
        <f t="shared" si="0"/>
        <v>0</v>
      </c>
    </row>
    <row r="17" spans="1:4">
      <c r="A17" s="9" t="s">
        <v>805</v>
      </c>
      <c r="B17" s="133">
        <f>B2*B4*2</f>
        <v>0</v>
      </c>
      <c r="C17" s="5"/>
      <c r="D17" s="862">
        <f t="shared" si="0"/>
        <v>0</v>
      </c>
    </row>
    <row r="18" spans="1:4">
      <c r="A18" s="10" t="s">
        <v>140</v>
      </c>
      <c r="B18" s="134">
        <f>B4*2</f>
        <v>0</v>
      </c>
      <c r="C18" s="6"/>
      <c r="D18" s="862">
        <f t="shared" si="0"/>
        <v>0</v>
      </c>
    </row>
    <row r="19" spans="1:4">
      <c r="A19" s="10" t="s">
        <v>807</v>
      </c>
      <c r="B19" s="134">
        <f>B5</f>
        <v>0</v>
      </c>
      <c r="C19" s="6"/>
      <c r="D19" s="862">
        <f t="shared" si="0"/>
        <v>0</v>
      </c>
    </row>
    <row r="20" spans="1:4">
      <c r="A20" s="10" t="s">
        <v>808</v>
      </c>
      <c r="B20" s="134">
        <f>B4</f>
        <v>0</v>
      </c>
      <c r="C20" s="6"/>
      <c r="D20" s="862">
        <f t="shared" si="0"/>
        <v>0</v>
      </c>
    </row>
    <row r="21" spans="1:4">
      <c r="A21" s="180" t="s">
        <v>145</v>
      </c>
      <c r="B21" s="134">
        <f>B7</f>
        <v>0</v>
      </c>
      <c r="C21" s="6"/>
      <c r="D21" s="862">
        <f t="shared" si="0"/>
        <v>0</v>
      </c>
    </row>
    <row r="22" spans="1:4">
      <c r="A22" s="180" t="s">
        <v>148</v>
      </c>
      <c r="B22" s="134">
        <f>B6</f>
        <v>0</v>
      </c>
      <c r="C22" s="6"/>
      <c r="D22" s="862">
        <f t="shared" si="0"/>
        <v>0</v>
      </c>
    </row>
    <row r="23" spans="1:4">
      <c r="A23" s="180" t="s">
        <v>809</v>
      </c>
      <c r="B23" s="134">
        <f>B8</f>
        <v>0</v>
      </c>
      <c r="C23" s="6"/>
      <c r="D23" s="862">
        <f t="shared" si="0"/>
        <v>0</v>
      </c>
    </row>
    <row r="24" spans="1:4" ht="12" thickBot="1">
      <c r="A24" s="35" t="s">
        <v>810</v>
      </c>
      <c r="B24" s="139">
        <f>B8</f>
        <v>0</v>
      </c>
      <c r="C24" s="140"/>
      <c r="D24" s="4">
        <f t="shared" si="0"/>
        <v>0</v>
      </c>
    </row>
    <row r="25" spans="1:4" ht="12.75">
      <c r="C25" s="2" t="s">
        <v>9</v>
      </c>
      <c r="D25">
        <f>SUM(D11:D24)</f>
        <v>0</v>
      </c>
    </row>
    <row r="42" ht="12.75" customHeight="1"/>
  </sheetData>
  <mergeCells count="10">
    <mergeCell ref="C7:D7"/>
    <mergeCell ref="C4:D4"/>
    <mergeCell ref="C5:D5"/>
    <mergeCell ref="C8:D8"/>
    <mergeCell ref="A9:D9"/>
    <mergeCell ref="F2:K3"/>
    <mergeCell ref="A1:D1"/>
    <mergeCell ref="C2:D2"/>
    <mergeCell ref="C3:D3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7"/>
  <sheetViews>
    <sheetView zoomScale="130" zoomScaleNormal="130" zoomScaleSheetLayoutView="100" workbookViewId="0">
      <selection activeCell="Q21" sqref="Q21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041" t="s">
        <v>834</v>
      </c>
      <c r="B1" s="1042"/>
      <c r="C1" s="1042"/>
      <c r="D1" s="1042"/>
    </row>
    <row r="2" spans="1:11" ht="11.25" customHeight="1">
      <c r="A2" s="129" t="s">
        <v>10</v>
      </c>
      <c r="B2" s="863">
        <v>2</v>
      </c>
      <c r="C2" s="964" t="s">
        <v>125</v>
      </c>
      <c r="D2" s="939"/>
      <c r="F2" s="942" t="s">
        <v>122</v>
      </c>
      <c r="G2" s="943"/>
      <c r="H2" s="943"/>
      <c r="I2" s="943"/>
      <c r="J2" s="943"/>
      <c r="K2" s="944"/>
    </row>
    <row r="3" spans="1:11" ht="12" thickBot="1">
      <c r="A3" s="131" t="s">
        <v>1</v>
      </c>
      <c r="B3" s="866">
        <v>0</v>
      </c>
      <c r="C3" s="1043" t="s">
        <v>30</v>
      </c>
      <c r="D3" s="1044"/>
      <c r="F3" s="945"/>
      <c r="G3" s="946"/>
      <c r="H3" s="946"/>
      <c r="I3" s="946"/>
      <c r="J3" s="946"/>
      <c r="K3" s="947"/>
    </row>
    <row r="4" spans="1:11">
      <c r="A4" s="144" t="s">
        <v>123</v>
      </c>
      <c r="B4" s="867">
        <v>0</v>
      </c>
      <c r="C4" s="1064" t="s">
        <v>30</v>
      </c>
      <c r="D4" s="1065"/>
    </row>
    <row r="5" spans="1:11" ht="12" thickBot="1">
      <c r="A5" s="170" t="s">
        <v>801</v>
      </c>
      <c r="B5" s="865">
        <v>0</v>
      </c>
      <c r="C5" s="1062" t="s">
        <v>30</v>
      </c>
      <c r="D5" s="1063"/>
    </row>
    <row r="6" spans="1:11" ht="12" thickBot="1">
      <c r="A6" s="901" t="s">
        <v>147</v>
      </c>
      <c r="B6" s="902">
        <v>0</v>
      </c>
      <c r="C6" s="1060" t="s">
        <v>30</v>
      </c>
      <c r="D6" s="1061"/>
    </row>
    <row r="7" spans="1:11" s="7" customFormat="1" ht="18" customHeight="1" thickBot="1">
      <c r="A7" s="173" t="s">
        <v>146</v>
      </c>
      <c r="B7" s="179">
        <v>0</v>
      </c>
      <c r="C7" s="1060" t="s">
        <v>30</v>
      </c>
      <c r="D7" s="1061"/>
      <c r="E7"/>
      <c r="F7"/>
      <c r="G7"/>
      <c r="H7"/>
      <c r="I7"/>
      <c r="J7"/>
      <c r="K7"/>
    </row>
    <row r="8" spans="1:11" ht="12" thickBot="1">
      <c r="A8" s="173" t="s">
        <v>143</v>
      </c>
      <c r="B8" s="179">
        <v>0</v>
      </c>
      <c r="C8" s="1060" t="s">
        <v>30</v>
      </c>
      <c r="D8" s="1061"/>
    </row>
    <row r="9" spans="1:11" ht="12" thickBot="1">
      <c r="A9" s="1040"/>
      <c r="B9" s="1040"/>
      <c r="C9" s="1040"/>
      <c r="D9" s="1040"/>
    </row>
    <row r="10" spans="1:11" ht="12.75">
      <c r="A10" s="116" t="s">
        <v>5</v>
      </c>
      <c r="B10" s="117" t="s">
        <v>0</v>
      </c>
      <c r="C10" s="138" t="s">
        <v>4</v>
      </c>
      <c r="D10" s="868" t="s">
        <v>8</v>
      </c>
      <c r="E10" s="7"/>
      <c r="F10" s="7"/>
      <c r="G10" s="7"/>
      <c r="H10" s="7"/>
      <c r="I10" s="7"/>
      <c r="J10" s="7"/>
      <c r="K10" s="7"/>
    </row>
    <row r="11" spans="1:11">
      <c r="A11" s="9" t="s">
        <v>802</v>
      </c>
      <c r="B11" s="133">
        <f>4*B4</f>
        <v>0</v>
      </c>
      <c r="C11" s="5"/>
      <c r="D11" s="862">
        <f t="shared" ref="D11" si="0">C11*B11</f>
        <v>0</v>
      </c>
    </row>
    <row r="12" spans="1:11">
      <c r="A12" s="9" t="s">
        <v>126</v>
      </c>
      <c r="B12" s="133">
        <f>B4</f>
        <v>0</v>
      </c>
      <c r="C12" s="5"/>
      <c r="D12" s="862">
        <f>C12*B12</f>
        <v>0</v>
      </c>
    </row>
    <row r="13" spans="1:11">
      <c r="A13" s="9" t="s">
        <v>803</v>
      </c>
      <c r="B13" s="133">
        <f>2*B4</f>
        <v>0</v>
      </c>
      <c r="C13" s="5"/>
      <c r="D13" s="862">
        <f>C13*B13</f>
        <v>0</v>
      </c>
      <c r="E13" s="86"/>
      <c r="F13" s="86"/>
    </row>
    <row r="14" spans="1:11">
      <c r="A14" s="10" t="s">
        <v>119</v>
      </c>
      <c r="B14" s="134">
        <f>B2*B4</f>
        <v>0</v>
      </c>
      <c r="C14" s="5"/>
      <c r="D14" s="862">
        <f t="shared" ref="D14:D25" si="1">C14*B14</f>
        <v>0</v>
      </c>
    </row>
    <row r="15" spans="1:11">
      <c r="A15" s="9" t="s">
        <v>118</v>
      </c>
      <c r="B15" s="133">
        <f>B16</f>
        <v>0</v>
      </c>
      <c r="C15" s="5"/>
      <c r="D15" s="862">
        <f t="shared" si="1"/>
        <v>0</v>
      </c>
    </row>
    <row r="16" spans="1:11">
      <c r="A16" s="10" t="s">
        <v>804</v>
      </c>
      <c r="B16" s="134">
        <f>B2*B4</f>
        <v>0</v>
      </c>
      <c r="C16" s="5"/>
      <c r="D16" s="862">
        <f t="shared" si="1"/>
        <v>0</v>
      </c>
    </row>
    <row r="17" spans="1:4">
      <c r="A17" s="9" t="s">
        <v>805</v>
      </c>
      <c r="B17" s="133">
        <f>B2*B4</f>
        <v>0</v>
      </c>
      <c r="C17" s="5"/>
      <c r="D17" s="862">
        <f t="shared" si="1"/>
        <v>0</v>
      </c>
    </row>
    <row r="18" spans="1:4">
      <c r="A18" s="10" t="s">
        <v>140</v>
      </c>
      <c r="B18" s="134">
        <f>2*B4</f>
        <v>0</v>
      </c>
      <c r="C18" s="6"/>
      <c r="D18" s="862">
        <f t="shared" si="1"/>
        <v>0</v>
      </c>
    </row>
    <row r="19" spans="1:4">
      <c r="A19" s="180" t="s">
        <v>806</v>
      </c>
      <c r="B19" s="181">
        <f>B4</f>
        <v>0</v>
      </c>
      <c r="C19" s="182"/>
      <c r="D19" s="862">
        <f t="shared" si="1"/>
        <v>0</v>
      </c>
    </row>
    <row r="20" spans="1:4">
      <c r="A20" s="10" t="s">
        <v>807</v>
      </c>
      <c r="B20" s="134">
        <f>B5</f>
        <v>0</v>
      </c>
      <c r="C20" s="182"/>
      <c r="D20" s="862">
        <f t="shared" si="1"/>
        <v>0</v>
      </c>
    </row>
    <row r="21" spans="1:4">
      <c r="A21" s="10" t="s">
        <v>808</v>
      </c>
      <c r="B21" s="134">
        <f>B4*2</f>
        <v>0</v>
      </c>
      <c r="C21" s="182"/>
      <c r="D21" s="862">
        <f t="shared" si="1"/>
        <v>0</v>
      </c>
    </row>
    <row r="22" spans="1:4">
      <c r="A22" s="180" t="s">
        <v>145</v>
      </c>
      <c r="B22" s="134">
        <f>B7</f>
        <v>0</v>
      </c>
      <c r="C22" s="182"/>
      <c r="D22" s="862">
        <f t="shared" si="1"/>
        <v>0</v>
      </c>
    </row>
    <row r="23" spans="1:4">
      <c r="A23" s="180" t="s">
        <v>148</v>
      </c>
      <c r="B23" s="134">
        <f>B6</f>
        <v>0</v>
      </c>
      <c r="C23" s="182"/>
      <c r="D23" s="862">
        <f t="shared" si="1"/>
        <v>0</v>
      </c>
    </row>
    <row r="24" spans="1:4">
      <c r="A24" s="180" t="s">
        <v>809</v>
      </c>
      <c r="B24" s="134">
        <f>B8</f>
        <v>0</v>
      </c>
      <c r="C24" s="182"/>
      <c r="D24" s="862">
        <f t="shared" si="1"/>
        <v>0</v>
      </c>
    </row>
    <row r="25" spans="1:4" ht="12" thickBot="1">
      <c r="A25" s="35" t="s">
        <v>810</v>
      </c>
      <c r="B25" s="139">
        <f>B8</f>
        <v>0</v>
      </c>
      <c r="C25" s="140"/>
      <c r="D25" s="4">
        <f t="shared" si="1"/>
        <v>0</v>
      </c>
    </row>
    <row r="26" spans="1:4" ht="12.75">
      <c r="C26" s="2" t="s">
        <v>9</v>
      </c>
      <c r="D26">
        <f>SUM(D11:D25)</f>
        <v>0</v>
      </c>
    </row>
    <row r="27" spans="1:4" ht="16.5" customHeight="1"/>
  </sheetData>
  <mergeCells count="10">
    <mergeCell ref="C7:D7"/>
    <mergeCell ref="C8:D8"/>
    <mergeCell ref="A9:D9"/>
    <mergeCell ref="C5:D5"/>
    <mergeCell ref="F2:K3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8"/>
  <sheetViews>
    <sheetView zoomScale="130" zoomScaleNormal="130" zoomScaleSheetLayoutView="100" workbookViewId="0">
      <selection activeCell="L21" sqref="L21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041" t="s">
        <v>800</v>
      </c>
      <c r="B1" s="1042"/>
      <c r="C1" s="1042"/>
      <c r="D1" s="1042"/>
    </row>
    <row r="2" spans="1:11" ht="11.25" customHeight="1">
      <c r="A2" s="129" t="s">
        <v>10</v>
      </c>
      <c r="B2" s="863">
        <v>0</v>
      </c>
      <c r="C2" s="964" t="s">
        <v>125</v>
      </c>
      <c r="D2" s="939"/>
      <c r="F2" s="942" t="s">
        <v>122</v>
      </c>
      <c r="G2" s="943"/>
      <c r="H2" s="943"/>
      <c r="I2" s="943"/>
      <c r="J2" s="943"/>
      <c r="K2" s="944"/>
    </row>
    <row r="3" spans="1:11" ht="12" thickBot="1">
      <c r="A3" s="131" t="s">
        <v>1</v>
      </c>
      <c r="B3" s="866">
        <v>0</v>
      </c>
      <c r="C3" s="1043" t="s">
        <v>30</v>
      </c>
      <c r="D3" s="1044"/>
      <c r="F3" s="945"/>
      <c r="G3" s="946"/>
      <c r="H3" s="946"/>
      <c r="I3" s="946"/>
      <c r="J3" s="946"/>
      <c r="K3" s="947"/>
    </row>
    <row r="4" spans="1:11">
      <c r="A4" s="144" t="s">
        <v>127</v>
      </c>
      <c r="B4" s="867">
        <v>2</v>
      </c>
      <c r="C4" s="1039" t="s">
        <v>128</v>
      </c>
      <c r="D4" s="932"/>
      <c r="F4" s="143"/>
      <c r="G4" s="143"/>
      <c r="H4" s="143"/>
      <c r="I4" s="143"/>
      <c r="J4" s="143"/>
      <c r="K4" s="143"/>
    </row>
    <row r="5" spans="1:11">
      <c r="A5" s="130" t="s">
        <v>123</v>
      </c>
      <c r="B5" s="864">
        <v>0</v>
      </c>
      <c r="C5" s="966" t="s">
        <v>30</v>
      </c>
      <c r="D5" s="967"/>
    </row>
    <row r="6" spans="1:11" ht="12" thickBot="1">
      <c r="A6" s="170" t="s">
        <v>801</v>
      </c>
      <c r="B6" s="171">
        <v>0</v>
      </c>
      <c r="C6" s="1047" t="s">
        <v>30</v>
      </c>
      <c r="D6" s="1048"/>
    </row>
    <row r="7" spans="1:11" ht="12" thickBot="1">
      <c r="A7" s="901" t="s">
        <v>147</v>
      </c>
      <c r="B7" s="902">
        <v>0</v>
      </c>
      <c r="C7" s="1045" t="s">
        <v>30</v>
      </c>
      <c r="D7" s="1046"/>
    </row>
    <row r="8" spans="1:11" s="7" customFormat="1" ht="18" customHeight="1" thickBot="1">
      <c r="A8" s="901" t="s">
        <v>146</v>
      </c>
      <c r="B8" s="902">
        <v>0</v>
      </c>
      <c r="C8" s="1045" t="s">
        <v>30</v>
      </c>
      <c r="D8" s="1046"/>
      <c r="E8"/>
      <c r="F8"/>
      <c r="G8"/>
      <c r="H8"/>
      <c r="I8"/>
      <c r="J8"/>
      <c r="K8"/>
    </row>
    <row r="9" spans="1:11" ht="12" thickBot="1">
      <c r="A9" s="173" t="s">
        <v>143</v>
      </c>
      <c r="B9" s="179">
        <v>0</v>
      </c>
      <c r="C9" s="1037" t="s">
        <v>30</v>
      </c>
      <c r="D9" s="1038"/>
    </row>
    <row r="10" spans="1:11" ht="12" thickBot="1">
      <c r="A10" s="1040"/>
      <c r="B10" s="1040"/>
      <c r="C10" s="1040"/>
      <c r="D10" s="1040"/>
    </row>
    <row r="11" spans="1:11" ht="12.75">
      <c r="A11" s="116" t="s">
        <v>5</v>
      </c>
      <c r="B11" s="117" t="s">
        <v>0</v>
      </c>
      <c r="C11" s="138" t="s">
        <v>4</v>
      </c>
      <c r="D11" s="868" t="s">
        <v>8</v>
      </c>
      <c r="E11" s="7"/>
      <c r="F11" s="7"/>
      <c r="G11" s="7"/>
      <c r="H11" s="7"/>
      <c r="I11" s="7"/>
      <c r="J11" s="7"/>
      <c r="K11" s="7"/>
    </row>
    <row r="12" spans="1:11">
      <c r="A12" s="9" t="s">
        <v>802</v>
      </c>
      <c r="B12" s="133">
        <f>2*B5*B4</f>
        <v>0</v>
      </c>
      <c r="C12" s="5"/>
      <c r="D12" s="862">
        <f t="shared" ref="D12:D26" si="0">C12*B12</f>
        <v>0</v>
      </c>
    </row>
    <row r="13" spans="1:11">
      <c r="A13" s="9" t="s">
        <v>129</v>
      </c>
      <c r="B13" s="133">
        <f>(B4-1)*B5</f>
        <v>0</v>
      </c>
      <c r="C13" s="5"/>
      <c r="D13" s="862">
        <f t="shared" si="0"/>
        <v>0</v>
      </c>
    </row>
    <row r="14" spans="1:11">
      <c r="A14" s="9" t="s">
        <v>803</v>
      </c>
      <c r="B14" s="133">
        <f>2*B5</f>
        <v>0</v>
      </c>
      <c r="C14" s="5"/>
      <c r="D14" s="862">
        <f t="shared" si="0"/>
        <v>0</v>
      </c>
      <c r="E14" s="86"/>
      <c r="F14" s="86"/>
    </row>
    <row r="15" spans="1:11">
      <c r="A15" s="10" t="s">
        <v>119</v>
      </c>
      <c r="B15" s="134">
        <f>B2*B5</f>
        <v>0</v>
      </c>
      <c r="C15" s="5"/>
      <c r="D15" s="862">
        <f t="shared" si="0"/>
        <v>0</v>
      </c>
    </row>
    <row r="16" spans="1:11">
      <c r="A16" s="9" t="s">
        <v>118</v>
      </c>
      <c r="B16" s="133">
        <f>B15</f>
        <v>0</v>
      </c>
      <c r="C16" s="5"/>
      <c r="D16" s="862">
        <f t="shared" si="0"/>
        <v>0</v>
      </c>
    </row>
    <row r="17" spans="1:4">
      <c r="A17" s="10" t="s">
        <v>804</v>
      </c>
      <c r="B17" s="134">
        <f>B2*B5</f>
        <v>0</v>
      </c>
      <c r="C17" s="5"/>
      <c r="D17" s="862">
        <f t="shared" si="0"/>
        <v>0</v>
      </c>
    </row>
    <row r="18" spans="1:4">
      <c r="A18" s="9" t="s">
        <v>805</v>
      </c>
      <c r="B18" s="133">
        <f>B2*B5</f>
        <v>0</v>
      </c>
      <c r="C18" s="5"/>
      <c r="D18" s="862">
        <f t="shared" si="0"/>
        <v>0</v>
      </c>
    </row>
    <row r="19" spans="1:4">
      <c r="A19" s="10" t="s">
        <v>140</v>
      </c>
      <c r="B19" s="134">
        <f>B5</f>
        <v>0</v>
      </c>
      <c r="C19" s="6"/>
      <c r="D19" s="862">
        <f t="shared" si="0"/>
        <v>0</v>
      </c>
    </row>
    <row r="20" spans="1:4">
      <c r="A20" s="180" t="s">
        <v>806</v>
      </c>
      <c r="B20" s="181">
        <f>B13</f>
        <v>0</v>
      </c>
      <c r="C20" s="182"/>
      <c r="D20" s="862">
        <f t="shared" si="0"/>
        <v>0</v>
      </c>
    </row>
    <row r="21" spans="1:4">
      <c r="A21" s="10" t="s">
        <v>807</v>
      </c>
      <c r="B21" s="134">
        <f>B6</f>
        <v>0</v>
      </c>
      <c r="C21" s="182"/>
      <c r="D21" s="862">
        <f t="shared" si="0"/>
        <v>0</v>
      </c>
    </row>
    <row r="22" spans="1:4">
      <c r="A22" s="10" t="s">
        <v>808</v>
      </c>
      <c r="B22" s="134">
        <f>B5*2</f>
        <v>0</v>
      </c>
      <c r="C22" s="182"/>
      <c r="D22" s="862">
        <f t="shared" si="0"/>
        <v>0</v>
      </c>
    </row>
    <row r="23" spans="1:4">
      <c r="A23" s="180" t="s">
        <v>145</v>
      </c>
      <c r="B23" s="134">
        <f>B8</f>
        <v>0</v>
      </c>
      <c r="C23" s="182"/>
      <c r="D23" s="862">
        <f t="shared" si="0"/>
        <v>0</v>
      </c>
    </row>
    <row r="24" spans="1:4">
      <c r="A24" s="180" t="s">
        <v>148</v>
      </c>
      <c r="B24" s="134">
        <f>B7</f>
        <v>0</v>
      </c>
      <c r="C24" s="182"/>
      <c r="D24" s="862">
        <f t="shared" si="0"/>
        <v>0</v>
      </c>
    </row>
    <row r="25" spans="1:4">
      <c r="A25" s="180" t="s">
        <v>809</v>
      </c>
      <c r="B25" s="134">
        <f>B9</f>
        <v>0</v>
      </c>
      <c r="C25" s="182"/>
      <c r="D25" s="862">
        <f t="shared" si="0"/>
        <v>0</v>
      </c>
    </row>
    <row r="26" spans="1:4" ht="12" thickBot="1">
      <c r="A26" s="35" t="s">
        <v>810</v>
      </c>
      <c r="B26" s="139">
        <f>B9</f>
        <v>0</v>
      </c>
      <c r="C26" s="140"/>
      <c r="D26" s="4">
        <f t="shared" si="0"/>
        <v>0</v>
      </c>
    </row>
    <row r="27" spans="1:4" ht="12.75">
      <c r="C27" s="2" t="s">
        <v>9</v>
      </c>
      <c r="D27">
        <f>SUM(D12:D26)</f>
        <v>0</v>
      </c>
    </row>
    <row r="28" spans="1:4" ht="16.5" customHeight="1"/>
  </sheetData>
  <mergeCells count="11">
    <mergeCell ref="C8:D8"/>
    <mergeCell ref="C9:D9"/>
    <mergeCell ref="A10:D10"/>
    <mergeCell ref="C5:D5"/>
    <mergeCell ref="F2:K3"/>
    <mergeCell ref="C7:D7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13" workbookViewId="0">
      <selection activeCell="A44" sqref="A44:XFD44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936" t="s">
        <v>177</v>
      </c>
      <c r="B1" s="937"/>
      <c r="C1" s="937"/>
      <c r="D1" s="959"/>
    </row>
    <row r="2" spans="1:11" ht="15" thickBot="1">
      <c r="A2" s="960" t="s">
        <v>3</v>
      </c>
      <c r="B2" s="961"/>
      <c r="C2" s="961"/>
      <c r="D2" s="962"/>
      <c r="F2" s="942" t="s">
        <v>122</v>
      </c>
      <c r="G2" s="943"/>
      <c r="H2" s="943"/>
      <c r="I2" s="943"/>
      <c r="J2" s="943"/>
      <c r="K2" s="944"/>
    </row>
    <row r="3" spans="1:11" ht="12" thickBot="1">
      <c r="A3" s="51" t="s">
        <v>178</v>
      </c>
      <c r="B3" s="48">
        <v>1</v>
      </c>
      <c r="C3" s="1066" t="s">
        <v>30</v>
      </c>
      <c r="D3" s="1066"/>
      <c r="F3" s="945"/>
      <c r="G3" s="946"/>
      <c r="H3" s="946"/>
      <c r="I3" s="946"/>
      <c r="J3" s="946"/>
      <c r="K3" s="947"/>
    </row>
    <row r="4" spans="1:11" ht="12" thickBot="1">
      <c r="A4" s="52" t="s">
        <v>179</v>
      </c>
      <c r="B4" s="84">
        <v>1</v>
      </c>
      <c r="C4" s="1067" t="s">
        <v>30</v>
      </c>
      <c r="D4" s="1067"/>
    </row>
    <row r="5" spans="1:11">
      <c r="A5" s="226" t="s">
        <v>180</v>
      </c>
      <c r="B5" s="231">
        <v>1</v>
      </c>
      <c r="C5" s="1068" t="s">
        <v>30</v>
      </c>
      <c r="D5" s="1068"/>
    </row>
    <row r="6" spans="1:11">
      <c r="A6" s="55" t="s">
        <v>181</v>
      </c>
      <c r="B6" s="56">
        <v>0</v>
      </c>
      <c r="C6" s="1069" t="s">
        <v>30</v>
      </c>
      <c r="D6" s="1069"/>
    </row>
    <row r="7" spans="1:11" ht="12" thickBot="1">
      <c r="A7" s="227" t="s">
        <v>182</v>
      </c>
      <c r="B7" s="105">
        <v>0</v>
      </c>
      <c r="C7" s="1070" t="s">
        <v>30</v>
      </c>
      <c r="D7" s="1070"/>
    </row>
    <row r="8" spans="1:11">
      <c r="A8" s="201" t="s">
        <v>157</v>
      </c>
      <c r="B8" s="203">
        <v>1</v>
      </c>
      <c r="C8" s="1068" t="s">
        <v>30</v>
      </c>
      <c r="D8" s="1068"/>
    </row>
    <row r="9" spans="1:11">
      <c r="A9" s="178" t="s">
        <v>144</v>
      </c>
      <c r="B9" s="184">
        <v>2</v>
      </c>
      <c r="C9" s="1083" t="s">
        <v>30</v>
      </c>
      <c r="D9" s="1083"/>
      <c r="E9" s="228"/>
      <c r="H9" s="86"/>
      <c r="I9" s="86"/>
      <c r="J9" s="86"/>
    </row>
    <row r="10" spans="1:11" ht="12" thickBot="1">
      <c r="A10" s="164" t="s">
        <v>147</v>
      </c>
      <c r="B10" s="105">
        <v>3</v>
      </c>
      <c r="C10" s="1070" t="s">
        <v>30</v>
      </c>
      <c r="D10" s="1070"/>
      <c r="E10" s="229"/>
      <c r="H10" s="86"/>
      <c r="I10" s="86"/>
      <c r="J10" s="86"/>
    </row>
    <row r="11" spans="1:11" ht="12" thickBot="1">
      <c r="A11" s="1071" t="s">
        <v>183</v>
      </c>
      <c r="B11" s="1071"/>
      <c r="C11" s="1071"/>
      <c r="D11" s="1071"/>
    </row>
    <row r="12" spans="1:11">
      <c r="A12" s="211" t="s">
        <v>184</v>
      </c>
      <c r="B12" s="212">
        <v>1</v>
      </c>
      <c r="C12" s="1072" t="s">
        <v>33</v>
      </c>
      <c r="D12" s="1073"/>
    </row>
    <row r="13" spans="1:11">
      <c r="A13" s="213" t="s">
        <v>185</v>
      </c>
      <c r="B13" s="214">
        <v>0</v>
      </c>
      <c r="C13" s="1008" t="s">
        <v>33</v>
      </c>
      <c r="D13" s="1009"/>
    </row>
    <row r="14" spans="1:11">
      <c r="A14" s="213" t="s">
        <v>186</v>
      </c>
      <c r="B14" s="215">
        <v>0</v>
      </c>
      <c r="C14" s="1010" t="s">
        <v>33</v>
      </c>
      <c r="D14" s="1012"/>
    </row>
    <row r="15" spans="1:11" ht="12" thickBot="1">
      <c r="A15" s="1084"/>
      <c r="B15" s="1085"/>
      <c r="C15" s="1085"/>
      <c r="D15" s="1086"/>
    </row>
    <row r="16" spans="1:11">
      <c r="A16" s="216" t="s">
        <v>187</v>
      </c>
      <c r="B16" s="217">
        <f>CEILING((B3-0.1)/0.4,1)+1</f>
        <v>4</v>
      </c>
      <c r="C16" s="1087" t="s">
        <v>29</v>
      </c>
      <c r="D16" s="1088"/>
    </row>
    <row r="17" spans="1:4" ht="12" thickBot="1">
      <c r="A17" s="218" t="s">
        <v>188</v>
      </c>
      <c r="B17" s="219">
        <f>SUM(B5:B7)</f>
        <v>1</v>
      </c>
      <c r="C17" s="1089" t="s">
        <v>29</v>
      </c>
      <c r="D17" s="1090"/>
    </row>
    <row r="18" spans="1:4" ht="12" thickBot="1">
      <c r="A18" s="1091"/>
      <c r="B18" s="1091"/>
      <c r="C18" s="1091"/>
      <c r="D18" s="1091"/>
    </row>
    <row r="19" spans="1:4" ht="12.75">
      <c r="A19" s="64" t="s">
        <v>7</v>
      </c>
      <c r="B19" s="118" t="s">
        <v>0</v>
      </c>
      <c r="C19" s="65" t="s">
        <v>4</v>
      </c>
      <c r="D19" s="66" t="s">
        <v>8</v>
      </c>
    </row>
    <row r="20" spans="1:4">
      <c r="A20" s="58" t="s">
        <v>189</v>
      </c>
      <c r="B20" s="192">
        <f>B3*B17</f>
        <v>1</v>
      </c>
      <c r="C20" s="191"/>
      <c r="D20" s="193">
        <f t="shared" ref="D20:D43" si="0">B20*C20</f>
        <v>0</v>
      </c>
    </row>
    <row r="21" spans="1:4">
      <c r="A21" s="220" t="s">
        <v>190</v>
      </c>
      <c r="B21" s="96">
        <f>B3*B17</f>
        <v>1</v>
      </c>
      <c r="C21" s="191"/>
      <c r="D21" s="193">
        <f t="shared" si="0"/>
        <v>0</v>
      </c>
    </row>
    <row r="22" spans="1:4">
      <c r="A22" s="220" t="s">
        <v>191</v>
      </c>
      <c r="B22" s="97">
        <f>(B3-0.026)*B6</f>
        <v>0</v>
      </c>
      <c r="C22" s="63"/>
      <c r="D22" s="195">
        <f t="shared" si="0"/>
        <v>0</v>
      </c>
    </row>
    <row r="23" spans="1:4">
      <c r="A23" s="220" t="s">
        <v>192</v>
      </c>
      <c r="B23" s="96">
        <f>(B3-0.07)*B17</f>
        <v>0.92999999999999994</v>
      </c>
      <c r="C23" s="191"/>
      <c r="D23" s="193">
        <f t="shared" si="0"/>
        <v>0</v>
      </c>
    </row>
    <row r="24" spans="1:4">
      <c r="A24" s="220" t="s">
        <v>193</v>
      </c>
      <c r="B24" s="97">
        <f>(B3-0.002)*B17*2</f>
        <v>1.996</v>
      </c>
      <c r="C24" s="63"/>
      <c r="D24" s="195">
        <f t="shared" si="0"/>
        <v>0</v>
      </c>
    </row>
    <row r="25" spans="1:4" ht="11.25" customHeight="1">
      <c r="A25" s="220" t="s">
        <v>194</v>
      </c>
      <c r="B25" s="97">
        <f>B3*B17</f>
        <v>1</v>
      </c>
      <c r="C25" s="63"/>
      <c r="D25" s="195">
        <f t="shared" si="0"/>
        <v>0</v>
      </c>
    </row>
    <row r="26" spans="1:4">
      <c r="A26" s="220" t="s">
        <v>195</v>
      </c>
      <c r="B26" s="97">
        <f>(B16-1)*B17</f>
        <v>3</v>
      </c>
      <c r="C26" s="63"/>
      <c r="D26" s="195">
        <f t="shared" si="0"/>
        <v>0</v>
      </c>
    </row>
    <row r="27" spans="1:4">
      <c r="A27" s="190" t="s">
        <v>167</v>
      </c>
      <c r="B27" s="97">
        <f>B17-B8</f>
        <v>0</v>
      </c>
      <c r="C27" s="63"/>
      <c r="D27" s="195">
        <f t="shared" si="0"/>
        <v>0</v>
      </c>
    </row>
    <row r="28" spans="1:4">
      <c r="A28" s="190" t="s">
        <v>168</v>
      </c>
      <c r="B28" s="97">
        <f>B8</f>
        <v>1</v>
      </c>
      <c r="C28" s="63"/>
      <c r="D28" s="195">
        <f t="shared" si="0"/>
        <v>0</v>
      </c>
    </row>
    <row r="29" spans="1:4">
      <c r="A29" s="220" t="s">
        <v>196</v>
      </c>
      <c r="B29" s="97">
        <f>(IF(B4&gt;2,B16,0))*B17</f>
        <v>0</v>
      </c>
      <c r="C29" s="63"/>
      <c r="D29" s="195">
        <f t="shared" si="0"/>
        <v>0</v>
      </c>
    </row>
    <row r="30" spans="1:4">
      <c r="A30" s="220" t="s">
        <v>197</v>
      </c>
      <c r="B30" s="97">
        <f>(IF(B4&lt;=2,B16,0))*B17</f>
        <v>4</v>
      </c>
      <c r="C30" s="63"/>
      <c r="D30" s="195">
        <f t="shared" si="0"/>
        <v>0</v>
      </c>
    </row>
    <row r="31" spans="1:4" ht="12.75" customHeight="1">
      <c r="A31" s="190" t="s">
        <v>169</v>
      </c>
      <c r="B31" s="97">
        <f>B17-B8</f>
        <v>0</v>
      </c>
      <c r="C31" s="63"/>
      <c r="D31" s="195">
        <f t="shared" si="0"/>
        <v>0</v>
      </c>
    </row>
    <row r="32" spans="1:4">
      <c r="A32" s="220" t="s">
        <v>198</v>
      </c>
      <c r="B32" s="97">
        <f>B17*2+(B17-B8)*2</f>
        <v>2</v>
      </c>
      <c r="C32" s="63"/>
      <c r="D32" s="195">
        <f t="shared" si="0"/>
        <v>0</v>
      </c>
    </row>
    <row r="33" spans="1:4">
      <c r="A33" s="220" t="s">
        <v>199</v>
      </c>
      <c r="B33" s="97">
        <f>2*B5</f>
        <v>2</v>
      </c>
      <c r="C33" s="63"/>
      <c r="D33" s="195">
        <f t="shared" si="0"/>
        <v>0</v>
      </c>
    </row>
    <row r="34" spans="1:4">
      <c r="A34" s="220" t="s">
        <v>200</v>
      </c>
      <c r="B34" s="97">
        <f>(B6+B7)*2</f>
        <v>0</v>
      </c>
      <c r="C34" s="63"/>
      <c r="D34" s="195">
        <f t="shared" si="0"/>
        <v>0</v>
      </c>
    </row>
    <row r="35" spans="1:4">
      <c r="A35" s="220" t="s">
        <v>201</v>
      </c>
      <c r="B35" s="97">
        <f>B5*2</f>
        <v>2</v>
      </c>
      <c r="C35" s="63"/>
      <c r="D35" s="195">
        <f t="shared" si="0"/>
        <v>0</v>
      </c>
    </row>
    <row r="36" spans="1:4">
      <c r="A36" s="220" t="s">
        <v>202</v>
      </c>
      <c r="B36" s="97">
        <f>2*(B6+B7)</f>
        <v>0</v>
      </c>
      <c r="C36" s="63"/>
      <c r="D36" s="195">
        <f t="shared" si="0"/>
        <v>0</v>
      </c>
    </row>
    <row r="37" spans="1:4">
      <c r="A37" s="220" t="s">
        <v>203</v>
      </c>
      <c r="B37" s="97">
        <f>2*B6</f>
        <v>0</v>
      </c>
      <c r="C37" s="63"/>
      <c r="D37" s="195">
        <f t="shared" si="0"/>
        <v>0</v>
      </c>
    </row>
    <row r="38" spans="1:4">
      <c r="A38" s="220" t="s">
        <v>204</v>
      </c>
      <c r="B38" s="97">
        <f>2*B7</f>
        <v>0</v>
      </c>
      <c r="C38" s="63"/>
      <c r="D38" s="195">
        <f t="shared" si="0"/>
        <v>0</v>
      </c>
    </row>
    <row r="39" spans="1:4">
      <c r="A39" s="220" t="s">
        <v>205</v>
      </c>
      <c r="B39" s="97">
        <f>B16*B17</f>
        <v>4</v>
      </c>
      <c r="C39" s="63"/>
      <c r="D39" s="195">
        <f t="shared" si="0"/>
        <v>0</v>
      </c>
    </row>
    <row r="40" spans="1:4">
      <c r="A40" s="220" t="s">
        <v>206</v>
      </c>
      <c r="B40" s="97">
        <f>B17*B16</f>
        <v>4</v>
      </c>
      <c r="C40" s="63"/>
      <c r="D40" s="195">
        <f t="shared" si="0"/>
        <v>0</v>
      </c>
    </row>
    <row r="41" spans="1:4">
      <c r="A41" s="220" t="s">
        <v>207</v>
      </c>
      <c r="B41" s="97">
        <f>B17</f>
        <v>1</v>
      </c>
      <c r="C41" s="63"/>
      <c r="D41" s="195">
        <f t="shared" si="0"/>
        <v>0</v>
      </c>
    </row>
    <row r="42" spans="1:4">
      <c r="A42" s="98" t="s">
        <v>208</v>
      </c>
      <c r="B42" s="97">
        <f>(B4+0.2)*B16*B17+(B3*2+B4*2)*(B6+B7)</f>
        <v>4.8</v>
      </c>
      <c r="C42" s="63"/>
      <c r="D42" s="195">
        <f t="shared" si="0"/>
        <v>0</v>
      </c>
    </row>
    <row r="43" spans="1:4">
      <c r="A43" s="220" t="s">
        <v>209</v>
      </c>
      <c r="B43" s="97">
        <f>1*B17</f>
        <v>1</v>
      </c>
      <c r="C43" s="63"/>
      <c r="D43" s="195">
        <f t="shared" si="0"/>
        <v>0</v>
      </c>
    </row>
    <row r="44" spans="1:4">
      <c r="A44" s="156" t="s">
        <v>163</v>
      </c>
      <c r="B44" s="89">
        <f>B9</f>
        <v>2</v>
      </c>
      <c r="C44" s="63"/>
      <c r="D44" s="195">
        <f>B44*C44</f>
        <v>0</v>
      </c>
    </row>
    <row r="45" spans="1:4">
      <c r="A45" s="156" t="s">
        <v>172</v>
      </c>
      <c r="B45" s="90">
        <f>B17</f>
        <v>1</v>
      </c>
      <c r="C45" s="77"/>
      <c r="D45" s="195">
        <f>B45*C45</f>
        <v>0</v>
      </c>
    </row>
    <row r="46" spans="1:4" ht="12" thickBot="1">
      <c r="A46" s="35" t="s">
        <v>173</v>
      </c>
      <c r="B46" s="196">
        <f>B10</f>
        <v>3</v>
      </c>
      <c r="C46" s="59"/>
      <c r="D46" s="195">
        <f>B46*C46</f>
        <v>0</v>
      </c>
    </row>
    <row r="47" spans="1:4" ht="12" thickBot="1">
      <c r="A47" s="1077"/>
      <c r="B47" s="1078"/>
      <c r="C47" s="1078"/>
      <c r="D47" s="1079"/>
    </row>
    <row r="48" spans="1:4" ht="12.75">
      <c r="A48" s="1074" t="s">
        <v>183</v>
      </c>
      <c r="B48" s="1075"/>
      <c r="C48" s="1075"/>
      <c r="D48" s="1076"/>
    </row>
    <row r="49" spans="1:4">
      <c r="A49" s="220" t="s">
        <v>210</v>
      </c>
      <c r="B49" s="97">
        <f>2*B7</f>
        <v>0</v>
      </c>
      <c r="C49" s="63"/>
      <c r="D49" s="195">
        <f t="shared" ref="D49:D60" si="1">B49*C49</f>
        <v>0</v>
      </c>
    </row>
    <row r="50" spans="1:4">
      <c r="A50" s="220" t="s">
        <v>211</v>
      </c>
      <c r="B50" s="97">
        <f>IF(B13=1,INT((B3-0.1)/0.6+2)*B17+2*B7+INT((B3-0.1)/0.6+2)*B6,0)</f>
        <v>0</v>
      </c>
      <c r="C50" s="63"/>
      <c r="D50" s="195">
        <f t="shared" si="1"/>
        <v>0</v>
      </c>
    </row>
    <row r="51" spans="1:4">
      <c r="A51" s="220" t="s">
        <v>212</v>
      </c>
      <c r="B51" s="97">
        <f>IF(B13=1,INT((B3-0.1)/0.6+2)*(B6+B7),0)</f>
        <v>0</v>
      </c>
      <c r="C51" s="63"/>
      <c r="D51" s="195">
        <f t="shared" si="1"/>
        <v>0</v>
      </c>
    </row>
    <row r="52" spans="1:4">
      <c r="A52" s="220" t="s">
        <v>213</v>
      </c>
      <c r="B52" s="97">
        <f>IF(B14=1,2*B7,0)</f>
        <v>0</v>
      </c>
      <c r="C52" s="63"/>
      <c r="D52" s="195">
        <f t="shared" si="1"/>
        <v>0</v>
      </c>
    </row>
    <row r="53" spans="1:4">
      <c r="A53" s="220" t="s">
        <v>214</v>
      </c>
      <c r="B53" s="97">
        <f>(IF(B14=1,INT((B3-0.1)/0.6+2),0))*B17</f>
        <v>0</v>
      </c>
      <c r="C53" s="63"/>
      <c r="D53" s="195">
        <f t="shared" si="1"/>
        <v>0</v>
      </c>
    </row>
    <row r="54" spans="1:4">
      <c r="A54" s="220" t="s">
        <v>215</v>
      </c>
      <c r="B54" s="97">
        <f>(IF(B14=1,INT((B3-0.1)/0.6+2),0))*B6</f>
        <v>0</v>
      </c>
      <c r="C54" s="63"/>
      <c r="D54" s="195">
        <f t="shared" si="1"/>
        <v>0</v>
      </c>
    </row>
    <row r="55" spans="1:4">
      <c r="A55" s="220" t="s">
        <v>216</v>
      </c>
      <c r="B55" s="97">
        <f>(IF(B14=1,0,INT((B3-0.1)/0.6+2)))*B17</f>
        <v>3</v>
      </c>
      <c r="C55" s="63"/>
      <c r="D55" s="195">
        <f t="shared" si="1"/>
        <v>0</v>
      </c>
    </row>
    <row r="56" spans="1:4">
      <c r="A56" s="220" t="s">
        <v>217</v>
      </c>
      <c r="B56" s="97">
        <f>((IF(B14=1,0,INT((B3-0.1)/0.6+2))))*B6</f>
        <v>0</v>
      </c>
      <c r="C56" s="63"/>
      <c r="D56" s="195">
        <f t="shared" si="1"/>
        <v>0</v>
      </c>
    </row>
    <row r="57" spans="1:4">
      <c r="A57" s="220" t="s">
        <v>218</v>
      </c>
      <c r="B57" s="194">
        <f>IF(B12&lt;&gt;1,B49,0)</f>
        <v>0</v>
      </c>
      <c r="C57" s="63"/>
      <c r="D57" s="195">
        <f t="shared" si="1"/>
        <v>0</v>
      </c>
    </row>
    <row r="58" spans="1:4">
      <c r="A58" s="220" t="s">
        <v>219</v>
      </c>
      <c r="B58" s="97">
        <f>B57</f>
        <v>0</v>
      </c>
      <c r="C58" s="63"/>
      <c r="D58" s="195">
        <f t="shared" si="1"/>
        <v>0</v>
      </c>
    </row>
    <row r="59" spans="1:4">
      <c r="A59" s="220" t="s">
        <v>220</v>
      </c>
      <c r="B59" s="194">
        <f>IF(B13=1,B55+B56,0)</f>
        <v>0</v>
      </c>
      <c r="C59" s="191"/>
      <c r="D59" s="195">
        <f t="shared" si="1"/>
        <v>0</v>
      </c>
    </row>
    <row r="60" spans="1:4">
      <c r="A60" s="220" t="s">
        <v>221</v>
      </c>
      <c r="B60" s="97">
        <f>B49</f>
        <v>0</v>
      </c>
      <c r="C60" s="63"/>
      <c r="D60" s="195">
        <f t="shared" si="1"/>
        <v>0</v>
      </c>
    </row>
    <row r="61" spans="1:4" ht="12" thickBot="1">
      <c r="A61" s="1077"/>
      <c r="B61" s="1078"/>
      <c r="C61" s="1078"/>
      <c r="D61" s="1079"/>
    </row>
    <row r="62" spans="1:4" ht="12.75">
      <c r="A62" s="1080" t="s">
        <v>222</v>
      </c>
      <c r="B62" s="1081"/>
      <c r="C62" s="1081"/>
      <c r="D62" s="1082"/>
    </row>
    <row r="63" spans="1:4">
      <c r="A63" s="220" t="s">
        <v>223</v>
      </c>
      <c r="B63" s="97">
        <v>1</v>
      </c>
      <c r="C63" s="63"/>
      <c r="D63" s="195">
        <f>B63*C63</f>
        <v>0</v>
      </c>
    </row>
    <row r="64" spans="1:4" ht="12" thickBot="1">
      <c r="A64" s="224" t="s">
        <v>224</v>
      </c>
      <c r="B64" s="225">
        <v>1</v>
      </c>
      <c r="C64" s="68"/>
      <c r="D64" s="83">
        <f>B64*C64</f>
        <v>0</v>
      </c>
    </row>
    <row r="65" spans="3:4">
      <c r="C65" s="3" t="s">
        <v>9</v>
      </c>
      <c r="D65" s="3">
        <f>SUM(D21:D64)</f>
        <v>0</v>
      </c>
    </row>
  </sheetData>
  <mergeCells count="23"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  <mergeCell ref="C5:D5"/>
    <mergeCell ref="C6:D6"/>
    <mergeCell ref="C7:D7"/>
    <mergeCell ref="A11:D11"/>
    <mergeCell ref="C12:D12"/>
    <mergeCell ref="F2:K3"/>
    <mergeCell ref="A1:D1"/>
    <mergeCell ref="A2:D2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A36" sqref="A36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936" t="s">
        <v>225</v>
      </c>
      <c r="B1" s="937"/>
      <c r="C1" s="937"/>
      <c r="D1" s="959"/>
    </row>
    <row r="2" spans="1:11" ht="15" thickBot="1">
      <c r="A2" s="960" t="s">
        <v>3</v>
      </c>
      <c r="B2" s="961"/>
      <c r="C2" s="961"/>
      <c r="D2" s="962"/>
      <c r="F2" s="942" t="s">
        <v>122</v>
      </c>
      <c r="G2" s="943"/>
      <c r="H2" s="943"/>
      <c r="I2" s="943"/>
      <c r="J2" s="943"/>
      <c r="K2" s="944"/>
    </row>
    <row r="3" spans="1:11" ht="12" thickBot="1">
      <c r="A3" s="51" t="s">
        <v>178</v>
      </c>
      <c r="B3" s="230">
        <v>1</v>
      </c>
      <c r="C3" s="1066" t="s">
        <v>30</v>
      </c>
      <c r="D3" s="1066"/>
      <c r="F3" s="945"/>
      <c r="G3" s="946"/>
      <c r="H3" s="946"/>
      <c r="I3" s="946"/>
      <c r="J3" s="946"/>
      <c r="K3" s="947"/>
    </row>
    <row r="4" spans="1:11" ht="12" thickBot="1">
      <c r="A4" s="233" t="s">
        <v>179</v>
      </c>
      <c r="B4" s="234">
        <v>1</v>
      </c>
      <c r="C4" s="1092" t="s">
        <v>30</v>
      </c>
      <c r="D4" s="1092"/>
    </row>
    <row r="5" spans="1:11">
      <c r="A5" s="201" t="s">
        <v>157</v>
      </c>
      <c r="B5" s="203">
        <v>1</v>
      </c>
      <c r="C5" s="1094" t="s">
        <v>30</v>
      </c>
      <c r="D5" s="1094"/>
    </row>
    <row r="6" spans="1:11">
      <c r="A6" s="178" t="s">
        <v>144</v>
      </c>
      <c r="B6" s="184">
        <v>2</v>
      </c>
      <c r="C6" s="1083" t="s">
        <v>30</v>
      </c>
      <c r="D6" s="1083"/>
      <c r="E6" s="228"/>
      <c r="H6" s="86"/>
      <c r="I6" s="86"/>
      <c r="J6" s="86"/>
    </row>
    <row r="7" spans="1:11" ht="12" thickBot="1">
      <c r="A7" s="164" t="s">
        <v>147</v>
      </c>
      <c r="B7" s="105">
        <v>3</v>
      </c>
      <c r="C7" s="1070" t="s">
        <v>30</v>
      </c>
      <c r="D7" s="1070"/>
      <c r="E7" s="229"/>
      <c r="H7" s="86"/>
      <c r="I7" s="86"/>
      <c r="J7" s="86"/>
    </row>
    <row r="8" spans="1:11" ht="12" thickBot="1">
      <c r="A8" s="226" t="s">
        <v>53</v>
      </c>
      <c r="B8" s="232">
        <v>1</v>
      </c>
      <c r="C8" s="1093" t="s">
        <v>30</v>
      </c>
      <c r="D8" s="1093"/>
    </row>
    <row r="9" spans="1:11" ht="12" thickBot="1">
      <c r="A9" s="1084"/>
      <c r="B9" s="1085"/>
      <c r="C9" s="1085"/>
      <c r="D9" s="1086"/>
    </row>
    <row r="10" spans="1:11" ht="12" thickBot="1">
      <c r="A10" s="216" t="s">
        <v>187</v>
      </c>
      <c r="B10" s="217">
        <f>CEILING((B3-0.1)/0.4,1)+1</f>
        <v>4</v>
      </c>
      <c r="C10" s="1087" t="s">
        <v>29</v>
      </c>
      <c r="D10" s="1088"/>
    </row>
    <row r="11" spans="1:11" ht="12" thickBot="1">
      <c r="A11" s="1091"/>
      <c r="B11" s="1091"/>
      <c r="C11" s="1091"/>
      <c r="D11" s="1091"/>
    </row>
    <row r="12" spans="1:11" ht="12.75">
      <c r="A12" s="221" t="s">
        <v>7</v>
      </c>
      <c r="B12" s="222" t="s">
        <v>0</v>
      </c>
      <c r="C12" s="65" t="s">
        <v>4</v>
      </c>
      <c r="D12" s="223" t="s">
        <v>8</v>
      </c>
    </row>
    <row r="13" spans="1:11">
      <c r="A13" s="58" t="s">
        <v>189</v>
      </c>
      <c r="B13" s="207">
        <f>B3*B8</f>
        <v>1</v>
      </c>
      <c r="C13" s="206"/>
      <c r="D13" s="208">
        <f t="shared" ref="D13:D33" si="0">B13*C13</f>
        <v>0</v>
      </c>
    </row>
    <row r="14" spans="1:11">
      <c r="A14" s="220" t="s">
        <v>190</v>
      </c>
      <c r="B14" s="96">
        <f>B3*B8</f>
        <v>1</v>
      </c>
      <c r="C14" s="206"/>
      <c r="D14" s="208">
        <f t="shared" si="0"/>
        <v>0</v>
      </c>
    </row>
    <row r="15" spans="1:11">
      <c r="A15" s="220" t="s">
        <v>192</v>
      </c>
      <c r="B15" s="96">
        <f>B3*B8</f>
        <v>1</v>
      </c>
      <c r="C15" s="206"/>
      <c r="D15" s="208">
        <f t="shared" si="0"/>
        <v>0</v>
      </c>
    </row>
    <row r="16" spans="1:11">
      <c r="A16" s="220" t="s">
        <v>226</v>
      </c>
      <c r="B16" s="96">
        <f>B3*B8</f>
        <v>1</v>
      </c>
      <c r="C16" s="206"/>
      <c r="D16" s="208">
        <f t="shared" si="0"/>
        <v>0</v>
      </c>
    </row>
    <row r="17" spans="1:4">
      <c r="A17" s="220" t="s">
        <v>193</v>
      </c>
      <c r="B17" s="97">
        <f>B3*B8*2</f>
        <v>2</v>
      </c>
      <c r="C17" s="63"/>
      <c r="D17" s="208">
        <f t="shared" si="0"/>
        <v>0</v>
      </c>
    </row>
    <row r="18" spans="1:4">
      <c r="A18" s="220" t="s">
        <v>194</v>
      </c>
      <c r="B18" s="97">
        <f>B3*B8</f>
        <v>1</v>
      </c>
      <c r="C18" s="63"/>
      <c r="D18" s="208">
        <f t="shared" si="0"/>
        <v>0</v>
      </c>
    </row>
    <row r="19" spans="1:4">
      <c r="A19" s="220" t="s">
        <v>195</v>
      </c>
      <c r="B19" s="97">
        <f>(B10-1)*B8</f>
        <v>3</v>
      </c>
      <c r="C19" s="63"/>
      <c r="D19" s="208">
        <f t="shared" si="0"/>
        <v>0</v>
      </c>
    </row>
    <row r="20" spans="1:4">
      <c r="A20" s="190" t="s">
        <v>167</v>
      </c>
      <c r="B20" s="97">
        <f>B8-B5</f>
        <v>0</v>
      </c>
      <c r="C20" s="63"/>
      <c r="D20" s="208">
        <f t="shared" si="0"/>
        <v>0</v>
      </c>
    </row>
    <row r="21" spans="1:4">
      <c r="A21" s="190" t="s">
        <v>168</v>
      </c>
      <c r="B21" s="97">
        <f>B5</f>
        <v>1</v>
      </c>
      <c r="C21" s="63"/>
      <c r="D21" s="208">
        <f t="shared" si="0"/>
        <v>0</v>
      </c>
    </row>
    <row r="22" spans="1:4">
      <c r="A22" s="220" t="s">
        <v>196</v>
      </c>
      <c r="B22" s="97">
        <f>(IF(B4&gt;2,B10,0))*B8</f>
        <v>0</v>
      </c>
      <c r="C22" s="63"/>
      <c r="D22" s="208">
        <f t="shared" si="0"/>
        <v>0</v>
      </c>
    </row>
    <row r="23" spans="1:4">
      <c r="A23" s="220" t="s">
        <v>197</v>
      </c>
      <c r="B23" s="97">
        <f>(IF(B4&lt;=2,B10,0))*B8</f>
        <v>4</v>
      </c>
      <c r="C23" s="63"/>
      <c r="D23" s="208">
        <f t="shared" si="0"/>
        <v>0</v>
      </c>
    </row>
    <row r="24" spans="1:4">
      <c r="A24" s="220" t="s">
        <v>198</v>
      </c>
      <c r="B24" s="97">
        <f>B8*2+(B8-B5)*2</f>
        <v>2</v>
      </c>
      <c r="C24" s="63"/>
      <c r="D24" s="208">
        <f t="shared" si="0"/>
        <v>0</v>
      </c>
    </row>
    <row r="25" spans="1:4">
      <c r="A25" s="220" t="s">
        <v>199</v>
      </c>
      <c r="B25" s="97">
        <f>2*B8</f>
        <v>2</v>
      </c>
      <c r="C25" s="63"/>
      <c r="D25" s="208">
        <f t="shared" si="0"/>
        <v>0</v>
      </c>
    </row>
    <row r="26" spans="1:4">
      <c r="A26" s="220" t="s">
        <v>201</v>
      </c>
      <c r="B26" s="97">
        <f>B8*2</f>
        <v>2</v>
      </c>
      <c r="C26" s="63"/>
      <c r="D26" s="208">
        <f t="shared" si="0"/>
        <v>0</v>
      </c>
    </row>
    <row r="27" spans="1:4">
      <c r="A27" s="220" t="s">
        <v>227</v>
      </c>
      <c r="B27" s="97">
        <f>2*B8</f>
        <v>2</v>
      </c>
      <c r="C27" s="63"/>
      <c r="D27" s="208">
        <f t="shared" si="0"/>
        <v>0</v>
      </c>
    </row>
    <row r="28" spans="1:4">
      <c r="A28" s="220" t="s">
        <v>205</v>
      </c>
      <c r="B28" s="97">
        <f>(4*3+B10*3)*B8</f>
        <v>24</v>
      </c>
      <c r="C28" s="63"/>
      <c r="D28" s="208">
        <f t="shared" si="0"/>
        <v>0</v>
      </c>
    </row>
    <row r="29" spans="1:4">
      <c r="A29" s="220" t="s">
        <v>228</v>
      </c>
      <c r="B29" s="97">
        <f>2*B8</f>
        <v>2</v>
      </c>
      <c r="C29" s="63"/>
      <c r="D29" s="208">
        <f t="shared" si="0"/>
        <v>0</v>
      </c>
    </row>
    <row r="30" spans="1:4">
      <c r="A30" s="220" t="s">
        <v>206</v>
      </c>
      <c r="B30" s="97">
        <f>B10*B8</f>
        <v>4</v>
      </c>
      <c r="C30" s="63"/>
      <c r="D30" s="208">
        <f t="shared" si="0"/>
        <v>0</v>
      </c>
    </row>
    <row r="31" spans="1:4">
      <c r="A31" s="220" t="s">
        <v>207</v>
      </c>
      <c r="B31" s="97">
        <f>B8*2</f>
        <v>2</v>
      </c>
      <c r="C31" s="63"/>
      <c r="D31" s="208">
        <f t="shared" si="0"/>
        <v>0</v>
      </c>
    </row>
    <row r="32" spans="1:4">
      <c r="A32" s="98" t="s">
        <v>208</v>
      </c>
      <c r="B32" s="97">
        <f>((B4*2+0.4)*2+(B4+0.4)*2)*B8</f>
        <v>7.6</v>
      </c>
      <c r="C32" s="63"/>
      <c r="D32" s="208">
        <f t="shared" si="0"/>
        <v>0</v>
      </c>
    </row>
    <row r="33" spans="1:4">
      <c r="A33" s="220" t="s">
        <v>209</v>
      </c>
      <c r="B33" s="97">
        <f>B8</f>
        <v>1</v>
      </c>
      <c r="C33" s="63"/>
      <c r="D33" s="208">
        <f t="shared" si="0"/>
        <v>0</v>
      </c>
    </row>
    <row r="34" spans="1:4">
      <c r="A34" s="156" t="s">
        <v>163</v>
      </c>
      <c r="B34" s="89">
        <f>B6</f>
        <v>2</v>
      </c>
      <c r="C34" s="63"/>
      <c r="D34" s="209">
        <f>B34*C34</f>
        <v>0</v>
      </c>
    </row>
    <row r="35" spans="1:4">
      <c r="A35" s="156" t="s">
        <v>172</v>
      </c>
      <c r="B35" s="90">
        <f>B8</f>
        <v>1</v>
      </c>
      <c r="C35" s="77"/>
      <c r="D35" s="209">
        <f>B35*C35</f>
        <v>0</v>
      </c>
    </row>
    <row r="36" spans="1:4" ht="12" thickBot="1">
      <c r="A36" s="35" t="s">
        <v>173</v>
      </c>
      <c r="B36" s="210">
        <f>B7</f>
        <v>3</v>
      </c>
      <c r="C36" s="59"/>
      <c r="D36" s="83">
        <f>B36*C36</f>
        <v>0</v>
      </c>
    </row>
    <row r="37" spans="1:4" ht="12" thickBot="1">
      <c r="A37" s="1077"/>
      <c r="B37" s="1078"/>
      <c r="C37" s="1078"/>
      <c r="D37" s="1079"/>
    </row>
    <row r="38" spans="1:4" ht="12.75">
      <c r="A38" s="1074" t="s">
        <v>183</v>
      </c>
      <c r="B38" s="1075"/>
      <c r="C38" s="1075"/>
      <c r="D38" s="1076"/>
    </row>
    <row r="39" spans="1:4">
      <c r="A39" s="220" t="s">
        <v>216</v>
      </c>
      <c r="B39" s="97">
        <f>B10*B8</f>
        <v>4</v>
      </c>
      <c r="C39" s="63"/>
      <c r="D39" s="209">
        <f>B39*C39</f>
        <v>0</v>
      </c>
    </row>
    <row r="40" spans="1:4" ht="12" thickBot="1">
      <c r="A40" s="224" t="s">
        <v>217</v>
      </c>
      <c r="B40" s="225">
        <f>B39</f>
        <v>4</v>
      </c>
      <c r="C40" s="68"/>
      <c r="D40" s="83">
        <f>B40*C40</f>
        <v>0</v>
      </c>
    </row>
  </sheetData>
  <mergeCells count="14">
    <mergeCell ref="A38:D38"/>
    <mergeCell ref="A1:D1"/>
    <mergeCell ref="A2:D2"/>
    <mergeCell ref="C3:D3"/>
    <mergeCell ref="C4:D4"/>
    <mergeCell ref="C8:D8"/>
    <mergeCell ref="C5:D5"/>
    <mergeCell ref="C6:D6"/>
    <mergeCell ref="C7:D7"/>
    <mergeCell ref="F2:K3"/>
    <mergeCell ref="A9:D9"/>
    <mergeCell ref="C10:D10"/>
    <mergeCell ref="A11:D11"/>
    <mergeCell ref="A37:D37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4" workbookViewId="0">
      <selection activeCell="A45" sqref="A45:XFD45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936" t="s">
        <v>352</v>
      </c>
      <c r="B1" s="937"/>
      <c r="C1" s="937"/>
      <c r="D1" s="959"/>
    </row>
    <row r="2" spans="1:10" ht="15" thickBot="1">
      <c r="A2" s="960" t="s">
        <v>3</v>
      </c>
      <c r="B2" s="961"/>
      <c r="C2" s="961"/>
      <c r="D2" s="962"/>
    </row>
    <row r="3" spans="1:10">
      <c r="A3" s="295" t="s">
        <v>178</v>
      </c>
      <c r="B3" s="285">
        <v>2</v>
      </c>
      <c r="C3" s="964" t="s">
        <v>30</v>
      </c>
      <c r="D3" s="939"/>
    </row>
    <row r="4" spans="1:10">
      <c r="A4" s="296" t="s">
        <v>179</v>
      </c>
      <c r="B4" s="289">
        <v>2</v>
      </c>
      <c r="C4" s="1011" t="s">
        <v>30</v>
      </c>
      <c r="D4" s="1012"/>
    </row>
    <row r="5" spans="1:10" ht="12" thickBot="1">
      <c r="A5" s="297" t="s">
        <v>322</v>
      </c>
      <c r="B5" s="298">
        <v>0.5</v>
      </c>
      <c r="C5" s="1099" t="s">
        <v>30</v>
      </c>
      <c r="D5" s="1100"/>
    </row>
    <row r="6" spans="1:10">
      <c r="A6" s="211" t="s">
        <v>353</v>
      </c>
      <c r="B6" s="212">
        <v>1</v>
      </c>
      <c r="C6" s="1101" t="s">
        <v>30</v>
      </c>
      <c r="D6" s="1102"/>
      <c r="H6" s="86"/>
    </row>
    <row r="7" spans="1:10" ht="12" thickBot="1">
      <c r="A7" s="299" t="s">
        <v>354</v>
      </c>
      <c r="B7" s="307">
        <v>1</v>
      </c>
      <c r="C7" s="1103" t="s">
        <v>30</v>
      </c>
      <c r="D7" s="1104"/>
      <c r="H7" s="86"/>
    </row>
    <row r="8" spans="1:10">
      <c r="A8" s="201" t="s">
        <v>144</v>
      </c>
      <c r="B8" s="203">
        <v>2</v>
      </c>
      <c r="C8" s="1094" t="s">
        <v>30</v>
      </c>
      <c r="D8" s="1094"/>
      <c r="E8" s="228"/>
      <c r="H8" s="86"/>
      <c r="I8" s="86"/>
      <c r="J8" s="86"/>
    </row>
    <row r="9" spans="1:10" ht="12" thickBot="1">
      <c r="A9" s="164" t="s">
        <v>147</v>
      </c>
      <c r="B9" s="105">
        <v>3</v>
      </c>
      <c r="C9" s="1070" t="s">
        <v>30</v>
      </c>
      <c r="D9" s="1070"/>
      <c r="E9" s="229"/>
      <c r="H9" s="86"/>
      <c r="I9" s="86"/>
      <c r="J9" s="86"/>
    </row>
    <row r="10" spans="1:10" ht="12" thickBot="1">
      <c r="A10" s="1071" t="s">
        <v>183</v>
      </c>
      <c r="B10" s="1071"/>
      <c r="C10" s="1071"/>
      <c r="D10" s="1071"/>
      <c r="H10" s="86"/>
    </row>
    <row r="11" spans="1:10">
      <c r="A11" s="211" t="s">
        <v>323</v>
      </c>
      <c r="B11" s="212">
        <v>0</v>
      </c>
      <c r="C11" s="1072" t="s">
        <v>33</v>
      </c>
      <c r="D11" s="1073"/>
      <c r="H11" s="86"/>
    </row>
    <row r="12" spans="1:10">
      <c r="A12" s="213" t="s">
        <v>324</v>
      </c>
      <c r="B12" s="214">
        <v>0</v>
      </c>
      <c r="C12" s="1008" t="s">
        <v>33</v>
      </c>
      <c r="D12" s="1009"/>
      <c r="F12" s="86"/>
      <c r="G12" s="86"/>
      <c r="H12" s="86"/>
    </row>
    <row r="13" spans="1:10">
      <c r="A13" s="213" t="s">
        <v>325</v>
      </c>
      <c r="B13" s="215">
        <v>0</v>
      </c>
      <c r="C13" s="1010" t="s">
        <v>33</v>
      </c>
      <c r="D13" s="1012"/>
      <c r="F13" s="86"/>
      <c r="G13" s="86"/>
      <c r="H13" s="86"/>
    </row>
    <row r="14" spans="1:10">
      <c r="A14" s="213" t="s">
        <v>326</v>
      </c>
      <c r="B14" s="214">
        <v>0</v>
      </c>
      <c r="C14" s="1008" t="s">
        <v>33</v>
      </c>
      <c r="D14" s="1009"/>
      <c r="F14" s="86"/>
      <c r="G14" s="86"/>
      <c r="H14" s="86"/>
    </row>
    <row r="15" spans="1:10" ht="12" thickBot="1">
      <c r="A15" s="299" t="s">
        <v>327</v>
      </c>
      <c r="B15" s="300">
        <v>1</v>
      </c>
      <c r="C15" s="1097" t="s">
        <v>33</v>
      </c>
      <c r="D15" s="1098"/>
      <c r="F15" s="86"/>
      <c r="G15" s="86"/>
      <c r="H15" s="86"/>
    </row>
    <row r="16" spans="1:10" ht="12" thickBot="1">
      <c r="A16" s="1084"/>
      <c r="B16" s="1085"/>
      <c r="C16" s="1085"/>
      <c r="D16" s="1086"/>
      <c r="F16" s="86"/>
      <c r="G16" s="86"/>
      <c r="H16" s="86"/>
    </row>
    <row r="17" spans="1:8" ht="12" thickBot="1">
      <c r="A17" s="301" t="s">
        <v>328</v>
      </c>
      <c r="B17" s="217">
        <v>1</v>
      </c>
      <c r="C17" s="1087" t="s">
        <v>329</v>
      </c>
      <c r="D17" s="1088"/>
      <c r="F17" s="86"/>
      <c r="G17" s="86"/>
      <c r="H17" s="86"/>
    </row>
    <row r="18" spans="1:8">
      <c r="A18" s="216" t="s">
        <v>187</v>
      </c>
      <c r="B18" s="217">
        <f>CEILING((B3-0.15)/0.4,1)+1</f>
        <v>6</v>
      </c>
      <c r="C18" s="1087" t="s">
        <v>29</v>
      </c>
      <c r="D18" s="1088"/>
      <c r="E18" s="88"/>
      <c r="F18" s="86"/>
      <c r="G18" s="86"/>
      <c r="H18" s="86"/>
    </row>
    <row r="19" spans="1:8" ht="12" thickBot="1">
      <c r="A19" s="218" t="s">
        <v>188</v>
      </c>
      <c r="B19" s="219">
        <f>SUM(B6:B7)</f>
        <v>2</v>
      </c>
      <c r="C19" s="1089" t="s">
        <v>29</v>
      </c>
      <c r="D19" s="1090"/>
      <c r="E19" s="88"/>
      <c r="F19" s="86"/>
      <c r="G19" s="86"/>
      <c r="H19" s="86"/>
    </row>
    <row r="20" spans="1:8" ht="12" thickBot="1">
      <c r="A20" s="1049"/>
      <c r="B20" s="1049"/>
      <c r="C20" s="1049"/>
      <c r="D20" s="1049"/>
      <c r="F20" s="86"/>
      <c r="G20" s="86"/>
      <c r="H20" s="86"/>
    </row>
    <row r="21" spans="1:8" ht="12.75">
      <c r="A21" s="292" t="s">
        <v>7</v>
      </c>
      <c r="B21" s="293" t="s">
        <v>0</v>
      </c>
      <c r="C21" s="65" t="s">
        <v>4</v>
      </c>
      <c r="D21" s="294" t="s">
        <v>8</v>
      </c>
      <c r="F21" s="86"/>
      <c r="G21" s="86"/>
      <c r="H21" s="86"/>
    </row>
    <row r="22" spans="1:8">
      <c r="A22" s="308" t="s">
        <v>330</v>
      </c>
      <c r="B22" s="96">
        <f>(B3-0.003)*B19</f>
        <v>3.9940000000000002</v>
      </c>
      <c r="C22" s="284"/>
      <c r="D22" s="287">
        <f t="shared" ref="D22:D53" si="0">B22*C22</f>
        <v>0</v>
      </c>
      <c r="F22" s="86"/>
      <c r="G22" s="86"/>
      <c r="H22" s="86"/>
    </row>
    <row r="23" spans="1:8">
      <c r="A23" s="308" t="s">
        <v>331</v>
      </c>
      <c r="B23" s="96">
        <f>(B3-0.003)*B19</f>
        <v>3.9940000000000002</v>
      </c>
      <c r="C23" s="284"/>
      <c r="D23" s="287">
        <f t="shared" si="0"/>
        <v>0</v>
      </c>
      <c r="F23" s="86"/>
      <c r="G23" s="86"/>
      <c r="H23" s="86"/>
    </row>
    <row r="24" spans="1:8">
      <c r="A24" s="308" t="s">
        <v>332</v>
      </c>
      <c r="B24" s="97">
        <f>(B3-0.003)*B19*2</f>
        <v>7.9880000000000004</v>
      </c>
      <c r="C24" s="63"/>
      <c r="D24" s="288">
        <f t="shared" si="0"/>
        <v>0</v>
      </c>
      <c r="F24" s="86"/>
      <c r="G24" s="86"/>
      <c r="H24" s="86"/>
    </row>
    <row r="25" spans="1:8">
      <c r="A25" s="308" t="s">
        <v>333</v>
      </c>
      <c r="B25" s="97">
        <f>(B3-0.002)*B19*2</f>
        <v>7.992</v>
      </c>
      <c r="C25" s="63"/>
      <c r="D25" s="288">
        <f t="shared" si="0"/>
        <v>0</v>
      </c>
    </row>
    <row r="26" spans="1:8">
      <c r="A26" s="308" t="s">
        <v>334</v>
      </c>
      <c r="B26" s="97">
        <f>(B3-0.695)*B19</f>
        <v>2.6100000000000003</v>
      </c>
      <c r="C26" s="63"/>
      <c r="D26" s="288">
        <f t="shared" si="0"/>
        <v>0</v>
      </c>
    </row>
    <row r="27" spans="1:8">
      <c r="A27" s="308" t="s">
        <v>335</v>
      </c>
      <c r="B27" s="97">
        <f>B28</f>
        <v>2</v>
      </c>
      <c r="C27" s="63"/>
      <c r="D27" s="288"/>
    </row>
    <row r="28" spans="1:8">
      <c r="A28" s="308" t="s">
        <v>336</v>
      </c>
      <c r="B28" s="97">
        <f>2*B7</f>
        <v>2</v>
      </c>
      <c r="C28" s="63"/>
      <c r="D28" s="288">
        <f t="shared" si="0"/>
        <v>0</v>
      </c>
    </row>
    <row r="29" spans="1:8">
      <c r="A29" s="308" t="s">
        <v>337</v>
      </c>
      <c r="B29" s="97">
        <f>B19*2</f>
        <v>4</v>
      </c>
      <c r="C29" s="63"/>
      <c r="D29" s="288">
        <f t="shared" si="0"/>
        <v>0</v>
      </c>
    </row>
    <row r="30" spans="1:8">
      <c r="A30" s="308" t="s">
        <v>338</v>
      </c>
      <c r="B30" s="97">
        <f>2*B19</f>
        <v>4</v>
      </c>
      <c r="C30" s="63"/>
      <c r="D30" s="288">
        <f t="shared" si="0"/>
        <v>0</v>
      </c>
    </row>
    <row r="31" spans="1:8">
      <c r="A31" s="308" t="s">
        <v>339</v>
      </c>
      <c r="B31" s="97">
        <f>B18*B19</f>
        <v>12</v>
      </c>
      <c r="C31" s="63"/>
      <c r="D31" s="288">
        <f t="shared" si="0"/>
        <v>0</v>
      </c>
    </row>
    <row r="32" spans="1:8">
      <c r="A32" s="308" t="s">
        <v>340</v>
      </c>
      <c r="B32" s="97">
        <f>B18*B19</f>
        <v>12</v>
      </c>
      <c r="C32" s="63"/>
      <c r="D32" s="288">
        <f t="shared" si="0"/>
        <v>0</v>
      </c>
    </row>
    <row r="33" spans="1:5">
      <c r="A33" s="308" t="s">
        <v>341</v>
      </c>
      <c r="B33" s="97">
        <f>IF($B$17=1,$B$18*$B$19,0)</f>
        <v>12</v>
      </c>
      <c r="C33" s="63"/>
      <c r="D33" s="288">
        <f t="shared" si="0"/>
        <v>0</v>
      </c>
    </row>
    <row r="34" spans="1:5">
      <c r="A34" s="308" t="s">
        <v>342</v>
      </c>
      <c r="B34" s="97">
        <f>B33</f>
        <v>12</v>
      </c>
      <c r="C34" s="63"/>
      <c r="D34" s="288">
        <f t="shared" si="0"/>
        <v>0</v>
      </c>
    </row>
    <row r="35" spans="1:5">
      <c r="A35" s="308" t="s">
        <v>205</v>
      </c>
      <c r="B35" s="97">
        <f>(IF(B4&gt;2,B18+4,B18+3))*B19+4*B7</f>
        <v>22</v>
      </c>
      <c r="C35" s="63"/>
      <c r="D35" s="288">
        <f t="shared" si="0"/>
        <v>0</v>
      </c>
      <c r="E35" t="s">
        <v>358</v>
      </c>
    </row>
    <row r="36" spans="1:5">
      <c r="A36" s="308" t="s">
        <v>343</v>
      </c>
      <c r="B36" s="97">
        <f>1*B7</f>
        <v>1</v>
      </c>
      <c r="C36" s="63"/>
      <c r="D36" s="288">
        <f t="shared" si="0"/>
        <v>0</v>
      </c>
    </row>
    <row r="37" spans="1:5">
      <c r="A37" s="308" t="s">
        <v>196</v>
      </c>
      <c r="B37" s="97">
        <f>(IF(B4&gt;2,B18,0))*B19</f>
        <v>0</v>
      </c>
      <c r="C37" s="63"/>
      <c r="D37" s="288">
        <f t="shared" si="0"/>
        <v>0</v>
      </c>
      <c r="E37" s="306"/>
    </row>
    <row r="38" spans="1:5">
      <c r="A38" s="308" t="s">
        <v>197</v>
      </c>
      <c r="B38" s="97">
        <f>(IF(B4&lt;=2,B18,0))*B19</f>
        <v>12</v>
      </c>
      <c r="C38" s="63"/>
      <c r="D38" s="288">
        <f t="shared" si="0"/>
        <v>0</v>
      </c>
      <c r="E38" s="306"/>
    </row>
    <row r="39" spans="1:5">
      <c r="A39" s="308" t="s">
        <v>356</v>
      </c>
      <c r="B39" s="97">
        <f>B19</f>
        <v>2</v>
      </c>
      <c r="C39" s="63"/>
      <c r="D39" s="288">
        <f t="shared" si="0"/>
        <v>0</v>
      </c>
    </row>
    <row r="40" spans="1:5">
      <c r="A40" s="308" t="s">
        <v>344</v>
      </c>
      <c r="B40" s="97">
        <f>B19</f>
        <v>2</v>
      </c>
      <c r="C40" s="63"/>
      <c r="D40" s="288">
        <f t="shared" si="0"/>
        <v>0</v>
      </c>
    </row>
    <row r="41" spans="1:5">
      <c r="A41" s="308" t="s">
        <v>357</v>
      </c>
      <c r="B41" s="97">
        <f>B19</f>
        <v>2</v>
      </c>
      <c r="C41" s="63"/>
      <c r="D41" s="288">
        <f t="shared" si="0"/>
        <v>0</v>
      </c>
    </row>
    <row r="42" spans="1:5">
      <c r="A42" s="308" t="s">
        <v>355</v>
      </c>
      <c r="B42" s="97">
        <f>B19</f>
        <v>2</v>
      </c>
      <c r="C42" s="63"/>
      <c r="D42" s="288">
        <f t="shared" si="0"/>
        <v>0</v>
      </c>
      <c r="E42" s="88"/>
    </row>
    <row r="43" spans="1:5">
      <c r="A43" s="308" t="s">
        <v>359</v>
      </c>
      <c r="B43" s="97">
        <f>(B4+0.2)*B19*B18+($B$3+2*$B$4+0.3)*$B$7</f>
        <v>32.700000000000003</v>
      </c>
      <c r="C43" s="63"/>
      <c r="D43" s="288">
        <f>B43*C43</f>
        <v>0</v>
      </c>
      <c r="E43" s="88"/>
    </row>
    <row r="44" spans="1:5">
      <c r="A44" s="308" t="s">
        <v>345</v>
      </c>
      <c r="B44" s="97">
        <f>IF(B17=1,(B4+0.1)*B18*B19,0)</f>
        <v>25.200000000000003</v>
      </c>
      <c r="C44" s="63"/>
      <c r="D44" s="288">
        <f t="shared" si="0"/>
        <v>0</v>
      </c>
      <c r="E44" s="88"/>
    </row>
    <row r="45" spans="1:5" ht="11.25" customHeight="1">
      <c r="A45" s="156" t="s">
        <v>163</v>
      </c>
      <c r="B45" s="97">
        <f>B8</f>
        <v>2</v>
      </c>
      <c r="C45" s="63"/>
      <c r="D45" s="288">
        <f>B45*C45</f>
        <v>0</v>
      </c>
    </row>
    <row r="46" spans="1:5" ht="11.25" customHeight="1" thickBot="1">
      <c r="A46" s="35" t="s">
        <v>173</v>
      </c>
      <c r="B46" s="97">
        <f>B9</f>
        <v>3</v>
      </c>
      <c r="C46" s="63"/>
      <c r="D46" s="288">
        <f>B46*C46</f>
        <v>0</v>
      </c>
    </row>
    <row r="47" spans="1:5" ht="12" thickBot="1">
      <c r="A47" s="1077"/>
      <c r="B47" s="1078"/>
      <c r="C47" s="1078"/>
      <c r="D47" s="1079"/>
    </row>
    <row r="48" spans="1:5" ht="12.75">
      <c r="A48" s="1074" t="s">
        <v>183</v>
      </c>
      <c r="B48" s="1075"/>
      <c r="C48" s="1075"/>
      <c r="D48" s="1076"/>
    </row>
    <row r="49" spans="1:8">
      <c r="A49" s="220" t="s">
        <v>346</v>
      </c>
      <c r="B49" s="97">
        <f>IF(B11=1,F64*B19,0)</f>
        <v>0</v>
      </c>
      <c r="C49" s="63"/>
      <c r="D49" s="288">
        <f t="shared" si="0"/>
        <v>0</v>
      </c>
      <c r="E49" s="88"/>
    </row>
    <row r="50" spans="1:8">
      <c r="A50" s="220" t="s">
        <v>347</v>
      </c>
      <c r="B50" s="97">
        <f>B7*2</f>
        <v>2</v>
      </c>
      <c r="C50" s="63"/>
      <c r="D50" s="288">
        <f t="shared" si="0"/>
        <v>0</v>
      </c>
      <c r="E50" s="88"/>
    </row>
    <row r="51" spans="1:8">
      <c r="A51" s="220" t="s">
        <v>324</v>
      </c>
      <c r="B51" s="97">
        <f>IF(B12=1,F64*B19+2*B7,0)</f>
        <v>0</v>
      </c>
      <c r="C51" s="63"/>
      <c r="D51" s="288">
        <f t="shared" si="0"/>
        <v>0</v>
      </c>
      <c r="E51" s="88"/>
    </row>
    <row r="52" spans="1:8">
      <c r="A52" s="220" t="s">
        <v>325</v>
      </c>
      <c r="B52" s="97">
        <f>IF(B13=1,F64*B19+2*B7,0)</f>
        <v>0</v>
      </c>
      <c r="C52" s="63"/>
      <c r="D52" s="288">
        <v>0</v>
      </c>
    </row>
    <row r="53" spans="1:8">
      <c r="A53" s="220" t="s">
        <v>326</v>
      </c>
      <c r="B53" s="97">
        <f>IF(B14=1,F64*B19+2*B7,0)</f>
        <v>0</v>
      </c>
      <c r="C53" s="63"/>
      <c r="D53" s="288">
        <f t="shared" si="0"/>
        <v>0</v>
      </c>
    </row>
    <row r="54" spans="1:8">
      <c r="A54" s="220" t="s">
        <v>327</v>
      </c>
      <c r="B54" s="97">
        <f>IF(B15=1,F64*B19+2*B7,0)</f>
        <v>12</v>
      </c>
      <c r="C54" s="63"/>
      <c r="D54" s="288">
        <f>B54*C54</f>
        <v>0</v>
      </c>
    </row>
    <row r="55" spans="1:8">
      <c r="A55" s="220"/>
      <c r="B55" s="97"/>
      <c r="C55" s="63"/>
      <c r="D55" s="288"/>
    </row>
    <row r="56" spans="1:8">
      <c r="A56" s="220"/>
      <c r="B56" s="97"/>
      <c r="C56" s="63" t="s">
        <v>9</v>
      </c>
      <c r="D56" s="288">
        <f>SUM(D22:D55)</f>
        <v>0</v>
      </c>
    </row>
    <row r="60" spans="1:8">
      <c r="G60">
        <f>CEILING((B3-0.15)/0.6,1)+1</f>
        <v>5</v>
      </c>
    </row>
    <row r="62" spans="1:8" ht="12" thickBot="1">
      <c r="F62" s="1040" t="s">
        <v>29</v>
      </c>
      <c r="G62" s="1040"/>
      <c r="H62" s="1040"/>
    </row>
    <row r="63" spans="1:8">
      <c r="F63" s="1095" t="s">
        <v>348</v>
      </c>
      <c r="G63" s="1096"/>
      <c r="H63" s="1065"/>
    </row>
    <row r="64" spans="1:8">
      <c r="F64" s="302">
        <f>G60</f>
        <v>5</v>
      </c>
      <c r="G64" s="286">
        <f>F64*B6</f>
        <v>5</v>
      </c>
      <c r="H64" s="287">
        <v>0</v>
      </c>
    </row>
    <row r="65" spans="6:8">
      <c r="F65" s="302">
        <f>G60*2</f>
        <v>10</v>
      </c>
      <c r="G65" s="286">
        <f>F65*B7</f>
        <v>10</v>
      </c>
      <c r="H65" s="287">
        <v>0</v>
      </c>
    </row>
    <row r="66" spans="6:8" ht="12" thickBot="1">
      <c r="F66" s="303">
        <f>G60</f>
        <v>5</v>
      </c>
      <c r="G66" s="290" t="e">
        <f>F66*#REF!</f>
        <v>#REF!</v>
      </c>
      <c r="H66" s="291" t="e">
        <f>2*#REF!</f>
        <v>#REF!</v>
      </c>
    </row>
    <row r="67" spans="6:8" ht="12" thickBot="1">
      <c r="F67" s="304">
        <f>SUM(F64:F66)</f>
        <v>20</v>
      </c>
      <c r="G67" s="305" t="e">
        <f>SUM(G64:G66)</f>
        <v>#REF!</v>
      </c>
      <c r="H67" s="305" t="e">
        <f>SUM(H64:H66)</f>
        <v>#REF!</v>
      </c>
    </row>
    <row r="68" spans="6:8">
      <c r="F68" s="132" t="s">
        <v>349</v>
      </c>
      <c r="G68" s="132" t="s">
        <v>350</v>
      </c>
      <c r="H68" s="132" t="s">
        <v>351</v>
      </c>
    </row>
  </sheetData>
  <mergeCells count="24"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workbookViewId="0">
      <selection activeCell="B35" sqref="B35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936" t="s">
        <v>360</v>
      </c>
      <c r="B1" s="937"/>
      <c r="C1" s="937"/>
      <c r="D1" s="959"/>
    </row>
    <row r="2" spans="1:10" ht="15" thickBot="1">
      <c r="A2" s="960" t="s">
        <v>3</v>
      </c>
      <c r="B2" s="961"/>
      <c r="C2" s="961"/>
      <c r="D2" s="962"/>
    </row>
    <row r="3" spans="1:10">
      <c r="A3" s="295" t="s">
        <v>178</v>
      </c>
      <c r="B3" s="285">
        <v>2</v>
      </c>
      <c r="C3" s="964" t="s">
        <v>30</v>
      </c>
      <c r="D3" s="939"/>
    </row>
    <row r="4" spans="1:10">
      <c r="A4" s="296" t="s">
        <v>179</v>
      </c>
      <c r="B4" s="289">
        <v>2</v>
      </c>
      <c r="C4" s="1011" t="s">
        <v>30</v>
      </c>
      <c r="D4" s="1012"/>
    </row>
    <row r="5" spans="1:10" ht="12" thickBot="1">
      <c r="A5" s="297" t="s">
        <v>322</v>
      </c>
      <c r="B5" s="298">
        <v>0.5</v>
      </c>
      <c r="C5" s="1099" t="s">
        <v>30</v>
      </c>
      <c r="D5" s="1100"/>
    </row>
    <row r="6" spans="1:10">
      <c r="A6" s="211" t="s">
        <v>361</v>
      </c>
      <c r="B6" s="212">
        <v>1</v>
      </c>
      <c r="C6" s="1101" t="s">
        <v>30</v>
      </c>
      <c r="D6" s="1102"/>
      <c r="H6" s="86"/>
    </row>
    <row r="7" spans="1:10" ht="12" thickBot="1">
      <c r="A7" s="299" t="s">
        <v>362</v>
      </c>
      <c r="B7" s="307">
        <v>1</v>
      </c>
      <c r="C7" s="1103" t="s">
        <v>30</v>
      </c>
      <c r="D7" s="1104"/>
      <c r="H7" s="86"/>
    </row>
    <row r="8" spans="1:10">
      <c r="A8" s="201" t="s">
        <v>144</v>
      </c>
      <c r="B8" s="203">
        <v>2</v>
      </c>
      <c r="C8" s="1094" t="s">
        <v>30</v>
      </c>
      <c r="D8" s="1094"/>
      <c r="E8" s="228"/>
      <c r="H8" s="86"/>
      <c r="I8" s="86"/>
      <c r="J8" s="86"/>
    </row>
    <row r="9" spans="1:10" ht="12" thickBot="1">
      <c r="A9" s="164" t="s">
        <v>147</v>
      </c>
      <c r="B9" s="105">
        <v>3</v>
      </c>
      <c r="C9" s="1070" t="s">
        <v>30</v>
      </c>
      <c r="D9" s="1070"/>
      <c r="E9" s="229"/>
      <c r="H9" s="86"/>
      <c r="I9" s="86"/>
      <c r="J9" s="86"/>
    </row>
    <row r="10" spans="1:10" ht="12" thickBot="1">
      <c r="A10" s="1071" t="s">
        <v>183</v>
      </c>
      <c r="B10" s="1071"/>
      <c r="C10" s="1071"/>
      <c r="D10" s="1071"/>
      <c r="H10" s="86"/>
    </row>
    <row r="11" spans="1:10">
      <c r="A11" s="211" t="s">
        <v>323</v>
      </c>
      <c r="B11" s="212">
        <v>0</v>
      </c>
      <c r="C11" s="1072" t="s">
        <v>33</v>
      </c>
      <c r="D11" s="1073"/>
      <c r="H11" s="86"/>
    </row>
    <row r="12" spans="1:10">
      <c r="A12" s="213" t="s">
        <v>324</v>
      </c>
      <c r="B12" s="214">
        <v>0</v>
      </c>
      <c r="C12" s="1008" t="s">
        <v>33</v>
      </c>
      <c r="D12" s="1009"/>
      <c r="F12" s="86"/>
      <c r="G12" s="86"/>
      <c r="H12" s="86"/>
    </row>
    <row r="13" spans="1:10">
      <c r="A13" s="213" t="s">
        <v>325</v>
      </c>
      <c r="B13" s="215">
        <v>0</v>
      </c>
      <c r="C13" s="1010" t="s">
        <v>33</v>
      </c>
      <c r="D13" s="1012"/>
      <c r="F13" s="86"/>
      <c r="G13" s="86"/>
      <c r="H13" s="86"/>
    </row>
    <row r="14" spans="1:10">
      <c r="A14" s="213" t="s">
        <v>326</v>
      </c>
      <c r="B14" s="214">
        <v>0</v>
      </c>
      <c r="C14" s="1008" t="s">
        <v>33</v>
      </c>
      <c r="D14" s="1009"/>
      <c r="F14" s="86"/>
      <c r="G14" s="86"/>
      <c r="H14" s="86"/>
    </row>
    <row r="15" spans="1:10" ht="12" thickBot="1">
      <c r="A15" s="299" t="s">
        <v>327</v>
      </c>
      <c r="B15" s="300">
        <v>1</v>
      </c>
      <c r="C15" s="1097" t="s">
        <v>33</v>
      </c>
      <c r="D15" s="1098"/>
      <c r="F15" s="86"/>
      <c r="G15" s="86"/>
      <c r="H15" s="86"/>
    </row>
    <row r="16" spans="1:10" ht="12" thickBot="1">
      <c r="A16" s="1084"/>
      <c r="B16" s="1085"/>
      <c r="C16" s="1085"/>
      <c r="D16" s="1086"/>
      <c r="F16" s="86"/>
      <c r="G16" s="86"/>
      <c r="H16" s="86"/>
    </row>
    <row r="17" spans="1:8" ht="12" thickBot="1">
      <c r="A17" s="301" t="s">
        <v>328</v>
      </c>
      <c r="B17" s="217">
        <v>1</v>
      </c>
      <c r="C17" s="1087" t="s">
        <v>329</v>
      </c>
      <c r="D17" s="1088"/>
      <c r="F17" s="86"/>
      <c r="G17" s="86"/>
      <c r="H17" s="86"/>
    </row>
    <row r="18" spans="1:8">
      <c r="A18" s="216" t="s">
        <v>187</v>
      </c>
      <c r="B18" s="217">
        <f>CEILING((B3-0.15)/0.4,1)+1</f>
        <v>6</v>
      </c>
      <c r="C18" s="1087" t="s">
        <v>29</v>
      </c>
      <c r="D18" s="1088"/>
      <c r="E18" s="88"/>
      <c r="F18" s="86"/>
      <c r="G18" s="86"/>
      <c r="H18" s="86"/>
    </row>
    <row r="19" spans="1:8" ht="12" thickBot="1">
      <c r="A19" s="218" t="s">
        <v>188</v>
      </c>
      <c r="B19" s="219">
        <f>SUM(B6:B7)</f>
        <v>2</v>
      </c>
      <c r="C19" s="1089" t="s">
        <v>29</v>
      </c>
      <c r="D19" s="1090"/>
      <c r="E19" s="88"/>
      <c r="F19" s="86"/>
      <c r="G19" s="86"/>
      <c r="H19" s="86"/>
    </row>
    <row r="20" spans="1:8" ht="12" thickBot="1">
      <c r="A20" s="1049"/>
      <c r="B20" s="1049"/>
      <c r="C20" s="1049"/>
      <c r="D20" s="1049"/>
      <c r="F20" s="86"/>
      <c r="G20" s="86"/>
      <c r="H20" s="86"/>
    </row>
    <row r="21" spans="1:8" ht="12.75">
      <c r="A21" s="292" t="s">
        <v>7</v>
      </c>
      <c r="B21" s="293" t="s">
        <v>0</v>
      </c>
      <c r="C21" s="65" t="s">
        <v>4</v>
      </c>
      <c r="D21" s="294" t="s">
        <v>8</v>
      </c>
      <c r="F21" s="86"/>
      <c r="G21" s="86"/>
      <c r="H21" s="86"/>
    </row>
    <row r="22" spans="1:8">
      <c r="A22" s="308" t="s">
        <v>330</v>
      </c>
      <c r="B22" s="96">
        <f>(B3-0.003)*B19</f>
        <v>3.9940000000000002</v>
      </c>
      <c r="C22" s="284"/>
      <c r="D22" s="287">
        <f t="shared" ref="D22:D53" si="0">B22*C22</f>
        <v>0</v>
      </c>
      <c r="F22" s="86"/>
      <c r="G22" s="86"/>
      <c r="H22" s="86"/>
    </row>
    <row r="23" spans="1:8">
      <c r="A23" s="308" t="s">
        <v>331</v>
      </c>
      <c r="B23" s="96">
        <f>(B3-0.003)*B19*2</f>
        <v>7.9880000000000004</v>
      </c>
      <c r="C23" s="284"/>
      <c r="D23" s="287">
        <f t="shared" si="0"/>
        <v>0</v>
      </c>
      <c r="F23" s="86"/>
      <c r="G23" s="86"/>
      <c r="H23" s="86"/>
    </row>
    <row r="24" spans="1:8">
      <c r="A24" s="308" t="s">
        <v>332</v>
      </c>
      <c r="B24" s="97">
        <f>(B3-0.003)*B19*3</f>
        <v>11.982000000000001</v>
      </c>
      <c r="C24" s="63"/>
      <c r="D24" s="288">
        <f t="shared" si="0"/>
        <v>0</v>
      </c>
      <c r="F24" s="86"/>
      <c r="G24" s="86"/>
      <c r="H24" s="86"/>
    </row>
    <row r="25" spans="1:8">
      <c r="A25" s="308" t="s">
        <v>333</v>
      </c>
      <c r="B25" s="97">
        <f>(B3-0.002)*B19*2</f>
        <v>7.992</v>
      </c>
      <c r="C25" s="63"/>
      <c r="D25" s="288">
        <f t="shared" si="0"/>
        <v>0</v>
      </c>
    </row>
    <row r="26" spans="1:8">
      <c r="A26" s="308" t="s">
        <v>334</v>
      </c>
      <c r="B26" s="97">
        <f>(B3-0.695)*B19</f>
        <v>2.6100000000000003</v>
      </c>
      <c r="C26" s="63"/>
      <c r="D26" s="288">
        <f t="shared" si="0"/>
        <v>0</v>
      </c>
    </row>
    <row r="27" spans="1:8">
      <c r="A27" s="308" t="s">
        <v>335</v>
      </c>
      <c r="B27" s="97">
        <f>B28</f>
        <v>2</v>
      </c>
      <c r="C27" s="63"/>
      <c r="D27" s="288"/>
    </row>
    <row r="28" spans="1:8">
      <c r="A28" s="308" t="s">
        <v>336</v>
      </c>
      <c r="B28" s="97">
        <f>2*B7</f>
        <v>2</v>
      </c>
      <c r="C28" s="63"/>
      <c r="D28" s="288">
        <f t="shared" si="0"/>
        <v>0</v>
      </c>
    </row>
    <row r="29" spans="1:8">
      <c r="A29" s="308" t="s">
        <v>337</v>
      </c>
      <c r="B29" s="97">
        <f>B19*2</f>
        <v>4</v>
      </c>
      <c r="C29" s="63"/>
      <c r="D29" s="288">
        <f t="shared" si="0"/>
        <v>0</v>
      </c>
    </row>
    <row r="30" spans="1:8">
      <c r="A30" s="308" t="s">
        <v>338</v>
      </c>
      <c r="B30" s="97">
        <f>4*B19</f>
        <v>8</v>
      </c>
      <c r="C30" s="63"/>
      <c r="D30" s="288">
        <f t="shared" si="0"/>
        <v>0</v>
      </c>
    </row>
    <row r="31" spans="1:8">
      <c r="A31" s="308" t="s">
        <v>339</v>
      </c>
      <c r="B31" s="97">
        <f>B18*B19*2</f>
        <v>24</v>
      </c>
      <c r="C31" s="63"/>
      <c r="D31" s="288">
        <f t="shared" si="0"/>
        <v>0</v>
      </c>
    </row>
    <row r="32" spans="1:8">
      <c r="A32" s="308" t="s">
        <v>340</v>
      </c>
      <c r="B32" s="97">
        <f>B18*B19</f>
        <v>12</v>
      </c>
      <c r="C32" s="63"/>
      <c r="D32" s="288">
        <f t="shared" si="0"/>
        <v>0</v>
      </c>
    </row>
    <row r="33" spans="1:5">
      <c r="A33" s="308" t="s">
        <v>341</v>
      </c>
      <c r="B33" s="97">
        <f>IF($B$17=1,$B$18*$B$19,0)</f>
        <v>12</v>
      </c>
      <c r="C33" s="63"/>
      <c r="D33" s="288">
        <f t="shared" si="0"/>
        <v>0</v>
      </c>
    </row>
    <row r="34" spans="1:5">
      <c r="A34" s="308" t="s">
        <v>342</v>
      </c>
      <c r="B34" s="97">
        <f>B33</f>
        <v>12</v>
      </c>
      <c r="C34" s="63"/>
      <c r="D34" s="288">
        <f t="shared" si="0"/>
        <v>0</v>
      </c>
    </row>
    <row r="35" spans="1:5">
      <c r="A35" s="308" t="s">
        <v>205</v>
      </c>
      <c r="B35" s="97">
        <f>B18*4*B19+8*B7</f>
        <v>56</v>
      </c>
      <c r="C35" s="63"/>
      <c r="D35" s="288">
        <f t="shared" si="0"/>
        <v>0</v>
      </c>
      <c r="E35" t="s">
        <v>364</v>
      </c>
    </row>
    <row r="36" spans="1:5">
      <c r="A36" s="308" t="s">
        <v>343</v>
      </c>
      <c r="B36" s="97">
        <f>1*B7</f>
        <v>1</v>
      </c>
      <c r="C36" s="63"/>
      <c r="D36" s="288">
        <f t="shared" si="0"/>
        <v>0</v>
      </c>
    </row>
    <row r="37" spans="1:5">
      <c r="A37" s="308" t="s">
        <v>196</v>
      </c>
      <c r="B37" s="97">
        <f>(IF(B4&gt;2,B18,0))*B19</f>
        <v>0</v>
      </c>
      <c r="C37" s="63"/>
      <c r="D37" s="288">
        <f t="shared" si="0"/>
        <v>0</v>
      </c>
      <c r="E37" s="1105" t="s">
        <v>363</v>
      </c>
    </row>
    <row r="38" spans="1:5">
      <c r="A38" s="308" t="s">
        <v>197</v>
      </c>
      <c r="B38" s="97">
        <f>(IF(B4&lt;=2,B18,0))*B19</f>
        <v>12</v>
      </c>
      <c r="C38" s="63"/>
      <c r="D38" s="288">
        <f t="shared" si="0"/>
        <v>0</v>
      </c>
      <c r="E38" s="1105"/>
    </row>
    <row r="39" spans="1:5">
      <c r="A39" s="308" t="s">
        <v>356</v>
      </c>
      <c r="B39" s="97">
        <f>B19</f>
        <v>2</v>
      </c>
      <c r="C39" s="63"/>
      <c r="D39" s="288">
        <f t="shared" si="0"/>
        <v>0</v>
      </c>
    </row>
    <row r="40" spans="1:5">
      <c r="A40" s="308" t="s">
        <v>344</v>
      </c>
      <c r="B40" s="97">
        <f>B19</f>
        <v>2</v>
      </c>
      <c r="C40" s="63"/>
      <c r="D40" s="288">
        <f t="shared" si="0"/>
        <v>0</v>
      </c>
    </row>
    <row r="41" spans="1:5">
      <c r="A41" s="308" t="s">
        <v>357</v>
      </c>
      <c r="B41" s="97">
        <f>B19</f>
        <v>2</v>
      </c>
      <c r="C41" s="63"/>
      <c r="D41" s="288">
        <f t="shared" si="0"/>
        <v>0</v>
      </c>
    </row>
    <row r="42" spans="1:5">
      <c r="A42" s="308" t="s">
        <v>355</v>
      </c>
      <c r="B42" s="97">
        <f>B19</f>
        <v>2</v>
      </c>
      <c r="C42" s="63"/>
      <c r="D42" s="288">
        <f t="shared" si="0"/>
        <v>0</v>
      </c>
      <c r="E42" s="88"/>
    </row>
    <row r="43" spans="1:5">
      <c r="A43" s="308" t="s">
        <v>359</v>
      </c>
      <c r="B43" s="97">
        <f>((B4*2+0.2)*(B18-2)+(B4+0.2)*3)*B19+($B$3+2*$B$4+0.3)*$B$7</f>
        <v>53.1</v>
      </c>
      <c r="C43" s="63"/>
      <c r="D43" s="288">
        <f t="shared" si="0"/>
        <v>0</v>
      </c>
      <c r="E43" s="88"/>
    </row>
    <row r="44" spans="1:5">
      <c r="A44" s="308" t="s">
        <v>345</v>
      </c>
      <c r="B44" s="97">
        <f>IF(B17=1,(B4+0.1)*B18*B19,0)</f>
        <v>25.200000000000003</v>
      </c>
      <c r="C44" s="63"/>
      <c r="D44" s="288">
        <f t="shared" si="0"/>
        <v>0</v>
      </c>
      <c r="E44" s="88"/>
    </row>
    <row r="45" spans="1:5" ht="11.25" customHeight="1">
      <c r="A45" s="309" t="s">
        <v>163</v>
      </c>
      <c r="B45" s="97">
        <f>B8</f>
        <v>2</v>
      </c>
      <c r="C45" s="63"/>
      <c r="D45" s="288">
        <f t="shared" si="0"/>
        <v>0</v>
      </c>
    </row>
    <row r="46" spans="1:5" ht="11.25" customHeight="1" thickBot="1">
      <c r="A46" s="310" t="s">
        <v>173</v>
      </c>
      <c r="B46" s="97">
        <f>B9</f>
        <v>3</v>
      </c>
      <c r="C46" s="63"/>
      <c r="D46" s="288">
        <f t="shared" si="0"/>
        <v>0</v>
      </c>
    </row>
    <row r="47" spans="1:5" ht="12" thickBot="1">
      <c r="A47" s="1077"/>
      <c r="B47" s="1078"/>
      <c r="C47" s="1078"/>
      <c r="D47" s="1079"/>
    </row>
    <row r="48" spans="1:5" ht="12.75">
      <c r="A48" s="1074" t="s">
        <v>183</v>
      </c>
      <c r="B48" s="1075"/>
      <c r="C48" s="1075"/>
      <c r="D48" s="1076"/>
    </row>
    <row r="49" spans="1:8">
      <c r="A49" s="220" t="s">
        <v>346</v>
      </c>
      <c r="B49" s="97">
        <f>IF(B11=1,F64*B19,0)</f>
        <v>0</v>
      </c>
      <c r="C49" s="63"/>
      <c r="D49" s="288">
        <f t="shared" si="0"/>
        <v>0</v>
      </c>
      <c r="E49" s="88"/>
    </row>
    <row r="50" spans="1:8">
      <c r="A50" s="220" t="s">
        <v>347</v>
      </c>
      <c r="B50" s="97">
        <f>B7*2</f>
        <v>2</v>
      </c>
      <c r="C50" s="63"/>
      <c r="D50" s="288">
        <f t="shared" si="0"/>
        <v>0</v>
      </c>
      <c r="E50" s="88"/>
    </row>
    <row r="51" spans="1:8">
      <c r="A51" s="220" t="s">
        <v>324</v>
      </c>
      <c r="B51" s="97">
        <f>IF(B12=1,F64*B19+2*B7,0)</f>
        <v>0</v>
      </c>
      <c r="C51" s="63"/>
      <c r="D51" s="288">
        <f t="shared" si="0"/>
        <v>0</v>
      </c>
      <c r="E51" s="88"/>
    </row>
    <row r="52" spans="1:8">
      <c r="A52" s="220" t="s">
        <v>325</v>
      </c>
      <c r="B52" s="97">
        <f>IF(B13=1,F64*B19+2*B7,0)</f>
        <v>0</v>
      </c>
      <c r="C52" s="63"/>
      <c r="D52" s="288">
        <v>0</v>
      </c>
    </row>
    <row r="53" spans="1:8">
      <c r="A53" s="220" t="s">
        <v>326</v>
      </c>
      <c r="B53" s="97">
        <f>IF(B14=1,F64*B19+2*B7,0)</f>
        <v>0</v>
      </c>
      <c r="C53" s="63"/>
      <c r="D53" s="288">
        <f t="shared" si="0"/>
        <v>0</v>
      </c>
    </row>
    <row r="54" spans="1:8">
      <c r="A54" s="220" t="s">
        <v>327</v>
      </c>
      <c r="B54" s="97">
        <f>IF(B15=1,F64*B19+2*B7,0)</f>
        <v>12</v>
      </c>
      <c r="C54" s="63"/>
      <c r="D54" s="288">
        <f>B54*C54</f>
        <v>0</v>
      </c>
    </row>
    <row r="55" spans="1:8">
      <c r="A55" s="220"/>
      <c r="B55" s="97"/>
      <c r="C55" s="63"/>
      <c r="D55" s="288"/>
    </row>
    <row r="56" spans="1:8">
      <c r="A56" s="220"/>
      <c r="B56" s="97"/>
      <c r="C56" s="63" t="s">
        <v>9</v>
      </c>
      <c r="D56" s="288">
        <f>SUM(D22:D55)</f>
        <v>0</v>
      </c>
    </row>
    <row r="60" spans="1:8">
      <c r="G60">
        <f>CEILING((B3-0.15)/0.6,1)+1</f>
        <v>5</v>
      </c>
    </row>
    <row r="62" spans="1:8" ht="12" thickBot="1">
      <c r="F62" s="1040" t="s">
        <v>29</v>
      </c>
      <c r="G62" s="1040"/>
      <c r="H62" s="1040"/>
    </row>
    <row r="63" spans="1:8">
      <c r="F63" s="1095" t="s">
        <v>348</v>
      </c>
      <c r="G63" s="1096"/>
      <c r="H63" s="1065"/>
    </row>
    <row r="64" spans="1:8">
      <c r="F64" s="302">
        <f>G60</f>
        <v>5</v>
      </c>
      <c r="G64" s="286">
        <f>F64*B6</f>
        <v>5</v>
      </c>
      <c r="H64" s="287">
        <v>0</v>
      </c>
    </row>
    <row r="65" spans="6:8">
      <c r="F65" s="302">
        <f>G60*2</f>
        <v>10</v>
      </c>
      <c r="G65" s="286">
        <f>F65*B7</f>
        <v>10</v>
      </c>
      <c r="H65" s="287">
        <v>0</v>
      </c>
    </row>
    <row r="66" spans="6:8" ht="12" thickBot="1">
      <c r="F66" s="303">
        <f>G60</f>
        <v>5</v>
      </c>
      <c r="G66" s="290" t="e">
        <f>F66*#REF!</f>
        <v>#REF!</v>
      </c>
      <c r="H66" s="291" t="e">
        <f>2*#REF!</f>
        <v>#REF!</v>
      </c>
    </row>
    <row r="67" spans="6:8" ht="12" thickBot="1">
      <c r="F67" s="304">
        <f>SUM(F64:F66)</f>
        <v>20</v>
      </c>
      <c r="G67" s="305" t="e">
        <f>SUM(G64:G66)</f>
        <v>#REF!</v>
      </c>
      <c r="H67" s="305" t="e">
        <f>SUM(H64:H66)</f>
        <v>#REF!</v>
      </c>
    </row>
    <row r="68" spans="6:8">
      <c r="F68" s="132" t="s">
        <v>349</v>
      </c>
      <c r="G68" s="132" t="s">
        <v>350</v>
      </c>
      <c r="H68" s="132" t="s">
        <v>351</v>
      </c>
    </row>
  </sheetData>
  <mergeCells count="25"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6"/>
  <sheetViews>
    <sheetView zoomScale="115" zoomScaleNormal="115" workbookViewId="0">
      <selection activeCell="B6" sqref="B6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041" t="s">
        <v>249</v>
      </c>
      <c r="B1" s="1042"/>
      <c r="C1" s="1042"/>
      <c r="D1" s="1042"/>
    </row>
    <row r="2" spans="1:4">
      <c r="A2" s="129" t="s">
        <v>10</v>
      </c>
      <c r="B2" s="235">
        <v>10</v>
      </c>
      <c r="C2" s="964" t="s">
        <v>125</v>
      </c>
      <c r="D2" s="939"/>
    </row>
    <row r="3" spans="1:4" ht="12" thickBot="1">
      <c r="A3" s="131" t="s">
        <v>1</v>
      </c>
      <c r="B3" s="237">
        <v>1</v>
      </c>
      <c r="C3" s="1043" t="s">
        <v>30</v>
      </c>
      <c r="D3" s="1044"/>
    </row>
    <row r="4" spans="1:4" ht="22.5">
      <c r="A4" s="245" t="s">
        <v>247</v>
      </c>
      <c r="B4" s="238">
        <v>0</v>
      </c>
      <c r="C4" s="1039" t="s">
        <v>30</v>
      </c>
      <c r="D4" s="932"/>
    </row>
    <row r="5" spans="1:4">
      <c r="A5" s="245" t="s">
        <v>248</v>
      </c>
      <c r="B5" s="238">
        <v>1</v>
      </c>
      <c r="C5" s="1054" t="s">
        <v>30</v>
      </c>
      <c r="D5" s="1055"/>
    </row>
    <row r="6" spans="1:4">
      <c r="A6" s="245" t="s">
        <v>251</v>
      </c>
      <c r="B6" s="238">
        <v>1</v>
      </c>
      <c r="C6" s="1054" t="s">
        <v>30</v>
      </c>
      <c r="D6" s="1055"/>
    </row>
    <row r="7" spans="1:4">
      <c r="A7" s="245" t="s">
        <v>250</v>
      </c>
      <c r="B7" s="238">
        <v>0</v>
      </c>
      <c r="C7" s="1054" t="s">
        <v>30</v>
      </c>
      <c r="D7" s="1055"/>
    </row>
    <row r="8" spans="1:4">
      <c r="A8" s="245" t="s">
        <v>252</v>
      </c>
      <c r="B8" s="238">
        <v>0</v>
      </c>
      <c r="C8" s="1054" t="s">
        <v>30</v>
      </c>
      <c r="D8" s="1055"/>
    </row>
    <row r="9" spans="1:4">
      <c r="A9" s="130" t="s">
        <v>123</v>
      </c>
      <c r="B9" s="236">
        <v>1</v>
      </c>
      <c r="C9" s="966" t="s">
        <v>29</v>
      </c>
      <c r="D9" s="967"/>
    </row>
    <row r="10" spans="1:4" ht="33.75" customHeight="1">
      <c r="A10" s="250" t="s">
        <v>258</v>
      </c>
      <c r="B10" s="251">
        <v>1</v>
      </c>
      <c r="C10" s="1106" t="s">
        <v>259</v>
      </c>
      <c r="D10" s="1055"/>
    </row>
    <row r="11" spans="1:4">
      <c r="A11" s="250" t="s">
        <v>260</v>
      </c>
      <c r="B11" s="251">
        <v>1</v>
      </c>
      <c r="C11" s="252" t="s">
        <v>262</v>
      </c>
      <c r="D11" s="242" t="s">
        <v>261</v>
      </c>
    </row>
    <row r="12" spans="1:4">
      <c r="A12" s="249" t="s">
        <v>255</v>
      </c>
      <c r="B12" s="241">
        <v>1</v>
      </c>
      <c r="C12" s="243" t="s">
        <v>256</v>
      </c>
      <c r="D12" s="242" t="s">
        <v>257</v>
      </c>
    </row>
    <row r="13" spans="1:4" ht="12" thickBot="1">
      <c r="A13" s="173" t="s">
        <v>143</v>
      </c>
      <c r="B13" s="179">
        <v>1</v>
      </c>
      <c r="C13" s="1037" t="s">
        <v>30</v>
      </c>
      <c r="D13" s="1038"/>
    </row>
    <row r="14" spans="1:4" ht="12" thickBot="1">
      <c r="A14" s="1040"/>
      <c r="B14" s="1040"/>
      <c r="C14" s="1040"/>
      <c r="D14" s="1040"/>
    </row>
    <row r="15" spans="1:4" ht="12.75">
      <c r="A15" s="116" t="s">
        <v>5</v>
      </c>
      <c r="B15" s="117" t="s">
        <v>0</v>
      </c>
      <c r="C15" s="138" t="s">
        <v>4</v>
      </c>
      <c r="D15" s="239" t="s">
        <v>8</v>
      </c>
    </row>
    <row r="16" spans="1:4" ht="15">
      <c r="A16" s="246" t="s">
        <v>287</v>
      </c>
      <c r="B16" s="253">
        <f>(B2-0.165)*B9</f>
        <v>9.8350000000000009</v>
      </c>
      <c r="C16" s="5"/>
      <c r="D16" s="240">
        <f t="shared" ref="D16:D38" si="0">C16*B16</f>
        <v>0</v>
      </c>
    </row>
    <row r="17" spans="1:4" ht="15">
      <c r="A17" s="246" t="s">
        <v>697</v>
      </c>
      <c r="B17" s="248">
        <f>ROUNDUP(B2*8*B4,0)+EVEN(B2*8*B5)</f>
        <v>80</v>
      </c>
      <c r="C17" s="5"/>
      <c r="D17" s="240">
        <f t="shared" si="0"/>
        <v>0</v>
      </c>
    </row>
    <row r="18" spans="1:4" ht="15">
      <c r="A18" s="246" t="s">
        <v>253</v>
      </c>
      <c r="B18" s="248">
        <f>B9</f>
        <v>1</v>
      </c>
      <c r="C18" s="5"/>
      <c r="D18" s="240">
        <f t="shared" si="0"/>
        <v>0</v>
      </c>
    </row>
    <row r="19" spans="1:4" ht="15">
      <c r="A19" s="246" t="s">
        <v>254</v>
      </c>
      <c r="B19" s="248">
        <f>B9</f>
        <v>1</v>
      </c>
      <c r="C19" s="5"/>
      <c r="D19" s="240">
        <f t="shared" si="0"/>
        <v>0</v>
      </c>
    </row>
    <row r="20" spans="1:4" ht="15">
      <c r="A20" s="246" t="s">
        <v>234</v>
      </c>
      <c r="B20" s="248">
        <f>ROUNDUP(B2/0.5,0)*B9</f>
        <v>20</v>
      </c>
      <c r="C20" s="5"/>
      <c r="D20" s="240">
        <f t="shared" si="0"/>
        <v>0</v>
      </c>
    </row>
    <row r="21" spans="1:4" ht="15">
      <c r="A21" s="246" t="s">
        <v>238</v>
      </c>
      <c r="B21" s="248">
        <f>(IF(B10=2,ROUNDUP(B2/0.5,0),0))*B9</f>
        <v>0</v>
      </c>
      <c r="C21" s="240"/>
      <c r="D21" s="240">
        <f t="shared" si="0"/>
        <v>0</v>
      </c>
    </row>
    <row r="22" spans="1:4" ht="15">
      <c r="A22" s="246" t="s">
        <v>239</v>
      </c>
      <c r="B22" s="248">
        <f>(IF(B10=3,ROUNDUP(B2/0.5,0),0))*B9</f>
        <v>0</v>
      </c>
      <c r="C22" s="240"/>
      <c r="D22" s="240">
        <f t="shared" si="0"/>
        <v>0</v>
      </c>
    </row>
    <row r="23" spans="1:4" ht="15">
      <c r="A23" s="246" t="s">
        <v>698</v>
      </c>
      <c r="B23" s="248">
        <f>IF(B4=0,B5,B4)</f>
        <v>1</v>
      </c>
      <c r="C23" s="5"/>
      <c r="D23" s="240">
        <f t="shared" si="0"/>
        <v>0</v>
      </c>
    </row>
    <row r="24" spans="1:4" ht="15">
      <c r="A24" s="246" t="s">
        <v>699</v>
      </c>
      <c r="B24" s="248">
        <f>IF(B5=0,0,B5)</f>
        <v>1</v>
      </c>
      <c r="C24" s="5"/>
      <c r="D24" s="801">
        <f t="shared" ref="D24" si="1">C24*B24</f>
        <v>0</v>
      </c>
    </row>
    <row r="25" spans="1:4" ht="15">
      <c r="A25" s="246" t="s">
        <v>700</v>
      </c>
      <c r="B25" s="248">
        <f>IF(B5=0,0,B5)</f>
        <v>1</v>
      </c>
      <c r="C25" s="5"/>
      <c r="D25" s="801"/>
    </row>
    <row r="26" spans="1:4" ht="15">
      <c r="A26" s="246" t="s">
        <v>701</v>
      </c>
      <c r="B26" s="248">
        <f>IF(B5=0,0,B5)</f>
        <v>1</v>
      </c>
      <c r="C26" s="5"/>
      <c r="D26" s="801"/>
    </row>
    <row r="27" spans="1:4" ht="15">
      <c r="A27" s="246" t="s">
        <v>235</v>
      </c>
      <c r="B27" s="248">
        <f>B4*2+4*B5</f>
        <v>4</v>
      </c>
      <c r="C27" s="5"/>
      <c r="D27" s="240">
        <f t="shared" si="0"/>
        <v>0</v>
      </c>
    </row>
    <row r="28" spans="1:4" ht="15">
      <c r="A28" s="246" t="s">
        <v>236</v>
      </c>
      <c r="B28" s="248">
        <f>(IF(B11=1,(B2*2+0.11),0))*B9</f>
        <v>20.11</v>
      </c>
      <c r="C28" s="6"/>
      <c r="D28" s="240">
        <f t="shared" si="0"/>
        <v>0</v>
      </c>
    </row>
    <row r="29" spans="1:4" ht="15">
      <c r="A29" s="246" t="s">
        <v>240</v>
      </c>
      <c r="B29" s="248">
        <f>(IF(B11=2,(B2*2+0.11),0))*B9</f>
        <v>0</v>
      </c>
      <c r="C29" s="240"/>
      <c r="D29" s="240">
        <f t="shared" si="0"/>
        <v>0</v>
      </c>
    </row>
    <row r="30" spans="1:4" ht="15">
      <c r="A30" s="246" t="s">
        <v>237</v>
      </c>
      <c r="B30" s="248">
        <f>B4*2+B5*4</f>
        <v>4</v>
      </c>
      <c r="C30" s="6"/>
      <c r="D30" s="240">
        <f t="shared" si="0"/>
        <v>0</v>
      </c>
    </row>
    <row r="31" spans="1:4" ht="15">
      <c r="A31" s="246" t="s">
        <v>288</v>
      </c>
      <c r="B31" s="248">
        <f>B4+B5*2</f>
        <v>2</v>
      </c>
      <c r="C31" s="6"/>
      <c r="D31" s="240">
        <f t="shared" si="0"/>
        <v>0</v>
      </c>
    </row>
    <row r="32" spans="1:4" ht="15">
      <c r="A32" s="246" t="s">
        <v>289</v>
      </c>
      <c r="B32" s="248">
        <f>B4</f>
        <v>0</v>
      </c>
      <c r="C32" s="6"/>
      <c r="D32" s="240">
        <f t="shared" si="0"/>
        <v>0</v>
      </c>
    </row>
    <row r="33" spans="1:4" ht="15">
      <c r="A33" s="246" t="s">
        <v>241</v>
      </c>
      <c r="B33" s="248">
        <f>(IF(B12=1,B9,0))</f>
        <v>1</v>
      </c>
      <c r="C33" s="240"/>
      <c r="D33" s="240">
        <f t="shared" si="0"/>
        <v>0</v>
      </c>
    </row>
    <row r="34" spans="1:4">
      <c r="A34" s="246" t="s">
        <v>246</v>
      </c>
      <c r="B34" s="254">
        <f>B13</f>
        <v>1</v>
      </c>
      <c r="C34" s="240"/>
      <c r="D34" s="240">
        <f t="shared" si="0"/>
        <v>0</v>
      </c>
    </row>
    <row r="35" spans="1:4" ht="15">
      <c r="A35" s="247" t="s">
        <v>242</v>
      </c>
      <c r="B35" s="248"/>
      <c r="C35" s="240"/>
      <c r="D35" s="240">
        <f t="shared" si="0"/>
        <v>0</v>
      </c>
    </row>
    <row r="36" spans="1:4" ht="15">
      <c r="A36" s="246" t="s">
        <v>243</v>
      </c>
      <c r="B36" s="248">
        <f>B7</f>
        <v>0</v>
      </c>
      <c r="C36" s="240"/>
      <c r="D36" s="240">
        <f t="shared" si="0"/>
        <v>0</v>
      </c>
    </row>
    <row r="37" spans="1:4" ht="15">
      <c r="A37" s="246" t="s">
        <v>244</v>
      </c>
      <c r="B37" s="248">
        <f>B8</f>
        <v>0</v>
      </c>
      <c r="C37" s="240"/>
      <c r="D37" s="240">
        <f t="shared" si="0"/>
        <v>0</v>
      </c>
    </row>
    <row r="38" spans="1:4" ht="15">
      <c r="A38" s="246" t="s">
        <v>245</v>
      </c>
      <c r="B38" s="248">
        <f>B6</f>
        <v>1</v>
      </c>
      <c r="C38" s="240"/>
      <c r="D38" s="240">
        <f t="shared" si="0"/>
        <v>0</v>
      </c>
    </row>
    <row r="39" spans="1:4" ht="12.75">
      <c r="C39" s="2" t="s">
        <v>9</v>
      </c>
      <c r="D39">
        <f>SUM(D16:D38)</f>
        <v>0</v>
      </c>
    </row>
    <row r="46" spans="1:4">
      <c r="B46" s="244"/>
    </row>
  </sheetData>
  <mergeCells count="12">
    <mergeCell ref="A1:D1"/>
    <mergeCell ref="C2:D2"/>
    <mergeCell ref="C3:D3"/>
    <mergeCell ref="C4:D4"/>
    <mergeCell ref="C9:D9"/>
    <mergeCell ref="A14:D14"/>
    <mergeCell ref="C5:D5"/>
    <mergeCell ref="C6:D6"/>
    <mergeCell ref="C7:D7"/>
    <mergeCell ref="C8:D8"/>
    <mergeCell ref="C13:D13"/>
    <mergeCell ref="C10:D10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50"/>
  <sheetViews>
    <sheetView workbookViewId="0">
      <selection activeCell="B33" sqref="B33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041" t="s">
        <v>313</v>
      </c>
      <c r="B1" s="1042"/>
      <c r="C1" s="1042"/>
      <c r="D1" s="1042"/>
    </row>
    <row r="2" spans="1:4">
      <c r="A2" s="129" t="s">
        <v>10</v>
      </c>
      <c r="B2" s="268">
        <v>1</v>
      </c>
      <c r="C2" s="964" t="s">
        <v>125</v>
      </c>
      <c r="D2" s="939"/>
    </row>
    <row r="3" spans="1:4" ht="12" thickBot="1">
      <c r="A3" s="131" t="s">
        <v>1</v>
      </c>
      <c r="B3" s="271">
        <v>1</v>
      </c>
      <c r="C3" s="1043" t="s">
        <v>30</v>
      </c>
      <c r="D3" s="1044"/>
    </row>
    <row r="4" spans="1:4" ht="22.5">
      <c r="A4" s="245" t="s">
        <v>247</v>
      </c>
      <c r="B4" s="273">
        <v>0</v>
      </c>
      <c r="C4" s="1039" t="s">
        <v>30</v>
      </c>
      <c r="D4" s="932"/>
    </row>
    <row r="5" spans="1:4">
      <c r="A5" s="245" t="s">
        <v>248</v>
      </c>
      <c r="B5" s="273">
        <v>1</v>
      </c>
      <c r="C5" s="1054" t="s">
        <v>30</v>
      </c>
      <c r="D5" s="1055"/>
    </row>
    <row r="6" spans="1:4">
      <c r="A6" s="245" t="s">
        <v>251</v>
      </c>
      <c r="B6" s="273">
        <v>1</v>
      </c>
      <c r="C6" s="1054" t="s">
        <v>30</v>
      </c>
      <c r="D6" s="1055"/>
    </row>
    <row r="7" spans="1:4">
      <c r="A7" s="245" t="s">
        <v>250</v>
      </c>
      <c r="B7" s="273">
        <v>0</v>
      </c>
      <c r="C7" s="1054" t="s">
        <v>30</v>
      </c>
      <c r="D7" s="1055"/>
    </row>
    <row r="8" spans="1:4">
      <c r="A8" s="245" t="s">
        <v>252</v>
      </c>
      <c r="B8" s="273">
        <v>0</v>
      </c>
      <c r="C8" s="1054" t="s">
        <v>30</v>
      </c>
      <c r="D8" s="1055"/>
    </row>
    <row r="9" spans="1:4">
      <c r="A9" s="130" t="s">
        <v>123</v>
      </c>
      <c r="B9" s="269">
        <f>B4+B5</f>
        <v>1</v>
      </c>
      <c r="C9" s="966" t="s">
        <v>29</v>
      </c>
      <c r="D9" s="967"/>
    </row>
    <row r="10" spans="1:4" ht="33" customHeight="1">
      <c r="A10" s="250" t="s">
        <v>310</v>
      </c>
      <c r="B10" s="251">
        <v>1</v>
      </c>
      <c r="C10" s="1106" t="s">
        <v>311</v>
      </c>
      <c r="D10" s="1055"/>
    </row>
    <row r="11" spans="1:4" ht="35.25" customHeight="1">
      <c r="A11" s="250" t="s">
        <v>312</v>
      </c>
      <c r="B11" s="251">
        <v>3</v>
      </c>
      <c r="C11" s="1106" t="s">
        <v>314</v>
      </c>
      <c r="D11" s="1055"/>
    </row>
    <row r="12" spans="1:4">
      <c r="A12" s="250" t="s">
        <v>260</v>
      </c>
      <c r="B12" s="251">
        <v>1</v>
      </c>
      <c r="C12" s="275" t="s">
        <v>262</v>
      </c>
      <c r="D12" s="270" t="s">
        <v>261</v>
      </c>
    </row>
    <row r="13" spans="1:4">
      <c r="A13" s="250" t="s">
        <v>298</v>
      </c>
      <c r="B13" s="269">
        <v>1</v>
      </c>
      <c r="C13" s="272" t="s">
        <v>256</v>
      </c>
      <c r="D13" s="270" t="s">
        <v>257</v>
      </c>
    </row>
    <row r="14" spans="1:4">
      <c r="A14" s="249" t="s">
        <v>255</v>
      </c>
      <c r="B14" s="269">
        <v>2</v>
      </c>
      <c r="C14" s="272" t="s">
        <v>256</v>
      </c>
      <c r="D14" s="270" t="s">
        <v>257</v>
      </c>
    </row>
    <row r="15" spans="1:4" ht="22.5">
      <c r="A15" s="282" t="s">
        <v>309</v>
      </c>
      <c r="B15" s="269">
        <v>1</v>
      </c>
      <c r="C15" s="272"/>
      <c r="D15" s="270"/>
    </row>
    <row r="16" spans="1:4" ht="12" thickBot="1">
      <c r="A16" s="173" t="s">
        <v>143</v>
      </c>
      <c r="B16" s="179">
        <v>1</v>
      </c>
      <c r="C16" s="1037" t="s">
        <v>30</v>
      </c>
      <c r="D16" s="1038"/>
    </row>
    <row r="17" spans="1:4" ht="12" thickBot="1">
      <c r="A17" s="1040"/>
      <c r="B17" s="1040"/>
      <c r="C17" s="1040"/>
      <c r="D17" s="1040"/>
    </row>
    <row r="18" spans="1:4" ht="12.75">
      <c r="A18" s="116" t="s">
        <v>5</v>
      </c>
      <c r="B18" s="117" t="s">
        <v>0</v>
      </c>
      <c r="C18" s="138" t="s">
        <v>4</v>
      </c>
      <c r="D18" s="274" t="s">
        <v>8</v>
      </c>
    </row>
    <row r="19" spans="1:4" ht="15">
      <c r="A19" s="281" t="s">
        <v>300</v>
      </c>
      <c r="B19" s="279">
        <f>IF(B13=2,(B2-0.14)*B9,(B2-0.1)*B9)</f>
        <v>0.9</v>
      </c>
      <c r="C19" s="5"/>
      <c r="D19" s="267">
        <f t="shared" ref="D19:D42" si="0">C19*B19</f>
        <v>0</v>
      </c>
    </row>
    <row r="20" spans="1:4" ht="15">
      <c r="A20" s="281" t="s">
        <v>295</v>
      </c>
      <c r="B20" s="280">
        <f>ROUNDUP(B2*10*B4,0)+EVEN(B2*10*B5)</f>
        <v>10</v>
      </c>
      <c r="C20" s="5"/>
      <c r="D20" s="267">
        <f t="shared" si="0"/>
        <v>0</v>
      </c>
    </row>
    <row r="21" spans="1:4" ht="15">
      <c r="A21" s="281" t="s">
        <v>296</v>
      </c>
      <c r="B21" s="280">
        <f>IF($B$13=2,$B$9,0)</f>
        <v>0</v>
      </c>
      <c r="C21" s="5"/>
      <c r="D21" s="267">
        <f t="shared" si="0"/>
        <v>0</v>
      </c>
    </row>
    <row r="22" spans="1:4" ht="15">
      <c r="A22" s="281" t="s">
        <v>297</v>
      </c>
      <c r="B22" s="280">
        <f>B9</f>
        <v>1</v>
      </c>
      <c r="C22" s="5"/>
      <c r="D22" s="267">
        <f t="shared" si="0"/>
        <v>0</v>
      </c>
    </row>
    <row r="23" spans="1:4" ht="15">
      <c r="A23" s="281" t="s">
        <v>302</v>
      </c>
      <c r="B23" s="280">
        <f>(IF($B$10=1,ROUNDUP($B$2/0.5,0),0))*$B$9</f>
        <v>2</v>
      </c>
      <c r="C23" s="5"/>
      <c r="D23" s="267">
        <f t="shared" si="0"/>
        <v>0</v>
      </c>
    </row>
    <row r="24" spans="1:4" ht="15">
      <c r="A24" s="281" t="s">
        <v>303</v>
      </c>
      <c r="B24" s="280">
        <f>(IF($B$10=2,ROUNDUP($B$2/0.5,0),0))*$B$9</f>
        <v>0</v>
      </c>
      <c r="C24" s="5"/>
      <c r="D24" s="267">
        <f t="shared" si="0"/>
        <v>0</v>
      </c>
    </row>
    <row r="25" spans="1:4" ht="15">
      <c r="A25" s="281" t="s">
        <v>304</v>
      </c>
      <c r="B25" s="280">
        <f>(IF($B$10=3,ROUNDUP($B$2/0.5,0),0))*$B$9</f>
        <v>0</v>
      </c>
      <c r="C25" s="5"/>
      <c r="D25" s="267">
        <f t="shared" si="0"/>
        <v>0</v>
      </c>
    </row>
    <row r="26" spans="1:4" ht="15">
      <c r="A26" s="281" t="s">
        <v>305</v>
      </c>
      <c r="B26" s="280">
        <f>IF($B$10=1,0,((IF($B$11=2,ROUNDUP($B$2/0.5,0),0))*$B$9))</f>
        <v>0</v>
      </c>
      <c r="C26" s="267"/>
      <c r="D26" s="267">
        <f t="shared" si="0"/>
        <v>0</v>
      </c>
    </row>
    <row r="27" spans="1:4" ht="15">
      <c r="A27" s="281" t="s">
        <v>306</v>
      </c>
      <c r="B27" s="280">
        <f>IF($B$10=1,0,((IF($B$11=3,ROUNDUP($B$2/0.5,0),0))*$B$9))</f>
        <v>0</v>
      </c>
      <c r="C27" s="267"/>
      <c r="D27" s="267">
        <f t="shared" si="0"/>
        <v>0</v>
      </c>
    </row>
    <row r="28" spans="1:4" ht="15">
      <c r="A28" s="246" t="s">
        <v>235</v>
      </c>
      <c r="B28" s="248">
        <f>B4*2+4*B5</f>
        <v>4</v>
      </c>
      <c r="C28" s="5"/>
      <c r="D28" s="267">
        <f t="shared" si="0"/>
        <v>0</v>
      </c>
    </row>
    <row r="29" spans="1:4" ht="15">
      <c r="A29" s="281" t="s">
        <v>299</v>
      </c>
      <c r="B29" s="280">
        <f>B4+2*B5</f>
        <v>2</v>
      </c>
      <c r="C29" s="5"/>
      <c r="D29" s="267">
        <f t="shared" si="0"/>
        <v>0</v>
      </c>
    </row>
    <row r="30" spans="1:4" ht="15">
      <c r="A30" s="281" t="s">
        <v>298</v>
      </c>
      <c r="B30" s="280">
        <f>IF($B$13=2,0,$B$9)</f>
        <v>1</v>
      </c>
      <c r="C30" s="5"/>
      <c r="D30" s="267">
        <f t="shared" si="0"/>
        <v>0</v>
      </c>
    </row>
    <row r="31" spans="1:4" ht="15">
      <c r="A31" s="278" t="s">
        <v>236</v>
      </c>
      <c r="B31" s="280">
        <f>IF($B$13=2,(IF($B$12=1,(($B$2-0.14)*2+0.21),0))*$B$9,(IF($B$12=1,(($B$2-0.1)*2+0.21),0))*$B$9)</f>
        <v>2.0100000000000002</v>
      </c>
      <c r="C31" s="6"/>
      <c r="D31" s="267">
        <f t="shared" si="0"/>
        <v>0</v>
      </c>
    </row>
    <row r="32" spans="1:4" ht="15">
      <c r="A32" s="278" t="s">
        <v>240</v>
      </c>
      <c r="B32" s="280">
        <f>IF($B$13=2,(IF($B$12=2,(($B$2-0.14)*2+0.21),0))*$B$9,(IF($B$12=2,(($B$2-0.1)*2+0.21),0))*$B$9)</f>
        <v>0</v>
      </c>
      <c r="C32" s="267"/>
      <c r="D32" s="267">
        <f t="shared" si="0"/>
        <v>0</v>
      </c>
    </row>
    <row r="33" spans="1:4" ht="15">
      <c r="A33" s="278" t="s">
        <v>308</v>
      </c>
      <c r="B33" s="280">
        <f>B5</f>
        <v>1</v>
      </c>
      <c r="C33" s="6"/>
      <c r="D33" s="267">
        <f t="shared" si="0"/>
        <v>0</v>
      </c>
    </row>
    <row r="34" spans="1:4" ht="15">
      <c r="A34" s="281" t="s">
        <v>320</v>
      </c>
      <c r="B34" s="280">
        <f>B9</f>
        <v>1</v>
      </c>
      <c r="C34" s="6"/>
      <c r="D34" s="267">
        <f t="shared" si="0"/>
        <v>0</v>
      </c>
    </row>
    <row r="35" spans="1:4" ht="15">
      <c r="A35" s="281" t="s">
        <v>301</v>
      </c>
      <c r="B35" s="280">
        <f>B15</f>
        <v>1</v>
      </c>
      <c r="C35" s="6"/>
      <c r="D35" s="267">
        <f t="shared" si="0"/>
        <v>0</v>
      </c>
    </row>
    <row r="36" spans="1:4" ht="15">
      <c r="A36" s="281" t="s">
        <v>307</v>
      </c>
      <c r="B36" s="280">
        <f>(IF(B14=1,B9,0))</f>
        <v>0</v>
      </c>
      <c r="C36" s="267"/>
      <c r="D36" s="267">
        <f t="shared" si="0"/>
        <v>0</v>
      </c>
    </row>
    <row r="37" spans="1:4" ht="15">
      <c r="A37" s="281" t="s">
        <v>316</v>
      </c>
      <c r="B37" s="280">
        <f>B7</f>
        <v>0</v>
      </c>
      <c r="C37" s="267"/>
      <c r="D37" s="267">
        <f t="shared" si="0"/>
        <v>0</v>
      </c>
    </row>
    <row r="38" spans="1:4" ht="15">
      <c r="A38" s="278" t="s">
        <v>317</v>
      </c>
      <c r="B38" s="280">
        <f>B16</f>
        <v>1</v>
      </c>
      <c r="C38" s="6"/>
      <c r="D38" s="267">
        <f t="shared" si="0"/>
        <v>0</v>
      </c>
    </row>
    <row r="39" spans="1:4" ht="15">
      <c r="A39" s="247" t="s">
        <v>242</v>
      </c>
      <c r="B39" s="248"/>
      <c r="C39" s="267"/>
      <c r="D39" s="267">
        <f t="shared" si="0"/>
        <v>0</v>
      </c>
    </row>
    <row r="40" spans="1:4" ht="15">
      <c r="A40" s="246" t="s">
        <v>318</v>
      </c>
      <c r="B40" s="248">
        <f>B7</f>
        <v>0</v>
      </c>
      <c r="C40" s="267"/>
      <c r="D40" s="267">
        <f t="shared" si="0"/>
        <v>0</v>
      </c>
    </row>
    <row r="41" spans="1:4" ht="15">
      <c r="A41" s="246" t="s">
        <v>315</v>
      </c>
      <c r="B41" s="248">
        <f>B8</f>
        <v>0</v>
      </c>
      <c r="C41" s="267"/>
      <c r="D41" s="267">
        <f t="shared" si="0"/>
        <v>0</v>
      </c>
    </row>
    <row r="42" spans="1:4" ht="15">
      <c r="A42" s="246" t="s">
        <v>319</v>
      </c>
      <c r="B42" s="248">
        <f>B6</f>
        <v>1</v>
      </c>
      <c r="C42" s="267"/>
      <c r="D42" s="267">
        <f t="shared" si="0"/>
        <v>0</v>
      </c>
    </row>
    <row r="43" spans="1:4" ht="12.75">
      <c r="C43" s="2" t="s">
        <v>9</v>
      </c>
      <c r="D43">
        <f>SUM(D19:D42)</f>
        <v>0</v>
      </c>
    </row>
    <row r="50" spans="2:2">
      <c r="B50" s="244"/>
    </row>
  </sheetData>
  <mergeCells count="13">
    <mergeCell ref="A17:D17"/>
    <mergeCell ref="C10:D10"/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1:D11"/>
    <mergeCell ref="C16:D1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topLeftCell="A7" workbookViewId="0">
      <selection activeCell="B40" sqref="B40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041" t="s">
        <v>263</v>
      </c>
      <c r="B1" s="1042"/>
      <c r="C1" s="1042"/>
      <c r="D1" s="1042"/>
    </row>
    <row r="2" spans="1:4">
      <c r="A2" s="129" t="s">
        <v>10</v>
      </c>
      <c r="B2" s="256">
        <v>2</v>
      </c>
      <c r="C2" s="964" t="s">
        <v>125</v>
      </c>
      <c r="D2" s="939"/>
    </row>
    <row r="3" spans="1:4" ht="12" thickBot="1">
      <c r="A3" s="131" t="s">
        <v>1</v>
      </c>
      <c r="B3" s="259">
        <v>1</v>
      </c>
      <c r="C3" s="1043" t="s">
        <v>30</v>
      </c>
      <c r="D3" s="1044"/>
    </row>
    <row r="4" spans="1:4">
      <c r="A4" s="130" t="s">
        <v>123</v>
      </c>
      <c r="B4" s="257">
        <v>3</v>
      </c>
      <c r="C4" s="966" t="s">
        <v>30</v>
      </c>
      <c r="D4" s="967"/>
    </row>
    <row r="5" spans="1:4" ht="26.25" customHeight="1">
      <c r="A5" s="250" t="s">
        <v>258</v>
      </c>
      <c r="B5" s="251">
        <v>1</v>
      </c>
      <c r="C5" s="1106" t="s">
        <v>264</v>
      </c>
      <c r="D5" s="1055"/>
    </row>
    <row r="6" spans="1:4">
      <c r="A6" s="250" t="s">
        <v>265</v>
      </c>
      <c r="B6" s="251">
        <v>1</v>
      </c>
      <c r="C6" s="261" t="s">
        <v>266</v>
      </c>
      <c r="D6" s="258" t="s">
        <v>267</v>
      </c>
    </row>
    <row r="7" spans="1:4">
      <c r="A7" s="250" t="s">
        <v>290</v>
      </c>
      <c r="B7" s="251">
        <v>1</v>
      </c>
      <c r="C7" s="266" t="s">
        <v>291</v>
      </c>
      <c r="D7" s="264" t="s">
        <v>292</v>
      </c>
    </row>
    <row r="8" spans="1:4">
      <c r="A8" s="250" t="s">
        <v>124</v>
      </c>
      <c r="B8" s="251">
        <v>0</v>
      </c>
      <c r="C8" s="265" t="s">
        <v>256</v>
      </c>
      <c r="D8" s="264" t="s">
        <v>294</v>
      </c>
    </row>
    <row r="9" spans="1:4">
      <c r="A9" s="249" t="s">
        <v>282</v>
      </c>
      <c r="B9" s="257">
        <v>3</v>
      </c>
      <c r="C9" s="1054" t="s">
        <v>30</v>
      </c>
      <c r="D9" s="1007"/>
    </row>
    <row r="10" spans="1:4">
      <c r="A10" s="249" t="s">
        <v>284</v>
      </c>
      <c r="B10" s="257">
        <v>2</v>
      </c>
      <c r="C10" s="1054" t="s">
        <v>30</v>
      </c>
      <c r="D10" s="1007"/>
    </row>
    <row r="11" spans="1:4">
      <c r="A11" s="262" t="s">
        <v>281</v>
      </c>
      <c r="B11" s="257">
        <v>1</v>
      </c>
      <c r="C11" s="1054" t="s">
        <v>30</v>
      </c>
      <c r="D11" s="1007"/>
    </row>
    <row r="12" spans="1:4" ht="12" thickBot="1">
      <c r="A12" s="1040"/>
      <c r="B12" s="1040"/>
      <c r="C12" s="1040"/>
      <c r="D12" s="1040"/>
    </row>
    <row r="13" spans="1:4" ht="12.75">
      <c r="A13" s="116" t="s">
        <v>5</v>
      </c>
      <c r="B13" s="117" t="s">
        <v>0</v>
      </c>
      <c r="C13" s="138" t="s">
        <v>4</v>
      </c>
      <c r="D13" s="260" t="s">
        <v>8</v>
      </c>
    </row>
    <row r="14" spans="1:4" ht="15" customHeight="1">
      <c r="A14" s="255" t="s">
        <v>268</v>
      </c>
      <c r="B14" s="248">
        <f>(B2-0.004)*B4</f>
        <v>5.9879999999999995</v>
      </c>
      <c r="C14" s="5"/>
      <c r="D14" s="255">
        <f t="shared" ref="D14:D35" si="0">C14*B14</f>
        <v>0</v>
      </c>
    </row>
    <row r="15" spans="1:4" ht="15">
      <c r="A15" s="283" t="s">
        <v>321</v>
      </c>
      <c r="B15" s="248">
        <f>B4*2</f>
        <v>6</v>
      </c>
      <c r="C15" s="5"/>
      <c r="D15" s="255">
        <f t="shared" si="0"/>
        <v>0</v>
      </c>
    </row>
    <row r="16" spans="1:4" ht="15">
      <c r="A16" s="255" t="s">
        <v>269</v>
      </c>
      <c r="B16" s="248">
        <f>ROUNDUP(B2/0.4,0)*B4</f>
        <v>15</v>
      </c>
      <c r="C16" s="5"/>
      <c r="D16" s="255">
        <f t="shared" si="0"/>
        <v>0</v>
      </c>
    </row>
    <row r="17" spans="1:4" ht="15">
      <c r="A17" s="255" t="s">
        <v>270</v>
      </c>
      <c r="B17" s="248">
        <f>B16</f>
        <v>15</v>
      </c>
      <c r="C17" s="5"/>
      <c r="D17" s="255">
        <f t="shared" si="0"/>
        <v>0</v>
      </c>
    </row>
    <row r="18" spans="1:4" ht="15">
      <c r="A18" s="255" t="s">
        <v>271</v>
      </c>
      <c r="B18" s="248">
        <f>(IF(B5=1,ROUNDUP((B2-0.03)/0.5,0),0))*B4</f>
        <v>12</v>
      </c>
      <c r="C18" s="5"/>
      <c r="D18" s="255">
        <f t="shared" si="0"/>
        <v>0</v>
      </c>
    </row>
    <row r="19" spans="1:4" ht="15">
      <c r="A19" s="255" t="s">
        <v>272</v>
      </c>
      <c r="B19" s="248">
        <f>(IF(B5=2,ROUNDUP((B2-0.03)/0.5,0),0))*B4</f>
        <v>0</v>
      </c>
      <c r="C19" s="255"/>
      <c r="D19" s="255">
        <f t="shared" si="0"/>
        <v>0</v>
      </c>
    </row>
    <row r="20" spans="1:4" ht="15">
      <c r="A20" s="255" t="s">
        <v>273</v>
      </c>
      <c r="B20" s="248">
        <f>(IF(B6=1,ROUNDUP(B3/0.3,0),0))*(B2-0.01)*B4</f>
        <v>23.88</v>
      </c>
      <c r="C20" s="255"/>
      <c r="D20" s="255">
        <f t="shared" si="0"/>
        <v>0</v>
      </c>
    </row>
    <row r="21" spans="1:4" ht="15">
      <c r="A21" s="255" t="s">
        <v>274</v>
      </c>
      <c r="B21" s="248">
        <f>(IF(B6=2,ROUNDUP(B3/0.3,0),0))*(B2-0.01)*B4</f>
        <v>0</v>
      </c>
      <c r="C21" s="5"/>
      <c r="D21" s="255">
        <f t="shared" si="0"/>
        <v>0</v>
      </c>
    </row>
    <row r="22" spans="1:4" ht="15">
      <c r="A22" s="255" t="s">
        <v>275</v>
      </c>
      <c r="B22" s="248">
        <f>(B2-0.026)*B4</f>
        <v>5.9219999999999997</v>
      </c>
      <c r="C22" s="5"/>
      <c r="D22" s="255">
        <f t="shared" si="0"/>
        <v>0</v>
      </c>
    </row>
    <row r="23" spans="1:4" ht="15">
      <c r="A23" s="263" t="s">
        <v>293</v>
      </c>
      <c r="B23" s="248">
        <f>(IF(B7=2,(B2-0.01)*B4,0))</f>
        <v>0</v>
      </c>
      <c r="C23" s="5"/>
      <c r="D23" s="263">
        <f t="shared" si="0"/>
        <v>0</v>
      </c>
    </row>
    <row r="24" spans="1:4" ht="15">
      <c r="A24" s="263" t="s">
        <v>276</v>
      </c>
      <c r="B24" s="248">
        <f>(IF(B7=1,(B2-0.01)*B4,0))</f>
        <v>5.97</v>
      </c>
      <c r="C24" s="6"/>
      <c r="D24" s="263">
        <f t="shared" si="0"/>
        <v>0</v>
      </c>
    </row>
    <row r="25" spans="1:4" ht="15">
      <c r="A25" s="255" t="s">
        <v>277</v>
      </c>
      <c r="B25" s="248">
        <f>B4*2</f>
        <v>6</v>
      </c>
      <c r="C25" s="255"/>
      <c r="D25" s="255">
        <f t="shared" si="0"/>
        <v>0</v>
      </c>
    </row>
    <row r="26" spans="1:4" ht="15">
      <c r="A26" s="255" t="s">
        <v>278</v>
      </c>
      <c r="B26" s="248">
        <f>B16*(B3+0.2)</f>
        <v>18</v>
      </c>
      <c r="C26" s="255"/>
      <c r="D26" s="255">
        <f t="shared" si="0"/>
        <v>0</v>
      </c>
    </row>
    <row r="27" spans="1:4" ht="15">
      <c r="A27" s="255" t="s">
        <v>279</v>
      </c>
      <c r="B27" s="248">
        <f>2*B4</f>
        <v>6</v>
      </c>
      <c r="C27" s="6"/>
      <c r="D27" s="255">
        <f t="shared" si="0"/>
        <v>0</v>
      </c>
    </row>
    <row r="28" spans="1:4" ht="15">
      <c r="A28" s="255" t="s">
        <v>280</v>
      </c>
      <c r="B28" s="248">
        <f>2*B4</f>
        <v>6</v>
      </c>
      <c r="C28" s="255"/>
      <c r="D28" s="255">
        <f t="shared" si="0"/>
        <v>0</v>
      </c>
    </row>
    <row r="29" spans="1:4" ht="15">
      <c r="A29" s="255" t="s">
        <v>283</v>
      </c>
      <c r="B29" s="248">
        <f>B4</f>
        <v>3</v>
      </c>
      <c r="C29" s="255"/>
      <c r="D29" s="255">
        <f t="shared" si="0"/>
        <v>0</v>
      </c>
    </row>
    <row r="30" spans="1:4" ht="15">
      <c r="A30" s="255" t="s">
        <v>145</v>
      </c>
      <c r="B30" s="248">
        <f>B10</f>
        <v>2</v>
      </c>
      <c r="C30" s="255"/>
      <c r="D30" s="255">
        <f t="shared" si="0"/>
        <v>0</v>
      </c>
    </row>
    <row r="31" spans="1:4" ht="15">
      <c r="A31" s="255" t="s">
        <v>285</v>
      </c>
      <c r="B31" s="248">
        <f>B9</f>
        <v>3</v>
      </c>
      <c r="C31" s="255"/>
      <c r="D31" s="255">
        <f t="shared" si="0"/>
        <v>0</v>
      </c>
    </row>
    <row r="32" spans="1:4" ht="15">
      <c r="A32" s="276" t="s">
        <v>124</v>
      </c>
      <c r="B32" s="277">
        <f>IF(B8=1,(B2)*(B4),0)</f>
        <v>0</v>
      </c>
      <c r="C32" s="6"/>
      <c r="D32" s="263">
        <f t="shared" si="0"/>
        <v>0</v>
      </c>
    </row>
    <row r="33" spans="1:4" ht="15">
      <c r="A33" s="255" t="s">
        <v>286</v>
      </c>
      <c r="B33" s="248">
        <f>B11</f>
        <v>1</v>
      </c>
      <c r="C33" s="255"/>
      <c r="D33" s="255">
        <f t="shared" si="0"/>
        <v>0</v>
      </c>
    </row>
    <row r="34" spans="1:4" ht="15">
      <c r="A34" s="1107" t="s">
        <v>242</v>
      </c>
      <c r="B34" s="1108"/>
      <c r="C34" s="1108"/>
      <c r="D34" s="1109"/>
    </row>
    <row r="35" spans="1:4" ht="15">
      <c r="A35" s="246" t="s">
        <v>233</v>
      </c>
      <c r="B35" s="248">
        <f>B4</f>
        <v>3</v>
      </c>
      <c r="C35" s="255"/>
      <c r="D35" s="255">
        <f t="shared" si="0"/>
        <v>0</v>
      </c>
    </row>
    <row r="36" spans="1:4" ht="12.75">
      <c r="C36" s="2" t="s">
        <v>9</v>
      </c>
      <c r="D36">
        <f>SUM(D14:D35)</f>
        <v>0</v>
      </c>
    </row>
  </sheetData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I46" sqref="I46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041" t="s">
        <v>784</v>
      </c>
      <c r="B1" s="1042"/>
      <c r="C1" s="1042"/>
      <c r="D1" s="1042"/>
    </row>
    <row r="2" spans="1:4">
      <c r="A2" s="129" t="s">
        <v>10</v>
      </c>
      <c r="B2" s="911">
        <v>0</v>
      </c>
      <c r="C2" s="964" t="s">
        <v>125</v>
      </c>
      <c r="D2" s="939"/>
    </row>
    <row r="3" spans="1:4" ht="12" thickBot="1">
      <c r="A3" s="131" t="s">
        <v>1</v>
      </c>
      <c r="B3" s="912">
        <v>0</v>
      </c>
      <c r="C3" s="1043" t="s">
        <v>30</v>
      </c>
      <c r="D3" s="1044"/>
    </row>
    <row r="4" spans="1:4">
      <c r="A4" s="130" t="s">
        <v>123</v>
      </c>
      <c r="B4" s="913">
        <v>0</v>
      </c>
      <c r="C4" s="966" t="s">
        <v>30</v>
      </c>
      <c r="D4" s="967"/>
    </row>
    <row r="5" spans="1:4">
      <c r="A5" s="896" t="s">
        <v>265</v>
      </c>
      <c r="B5" s="914">
        <v>0</v>
      </c>
      <c r="C5" s="856" t="s">
        <v>266</v>
      </c>
      <c r="D5" s="847" t="s">
        <v>267</v>
      </c>
    </row>
    <row r="6" spans="1:4">
      <c r="A6" s="896" t="s">
        <v>290</v>
      </c>
      <c r="B6" s="914">
        <v>0</v>
      </c>
      <c r="C6" s="856" t="s">
        <v>291</v>
      </c>
      <c r="D6" s="847" t="s">
        <v>292</v>
      </c>
    </row>
    <row r="7" spans="1:4">
      <c r="A7" s="896" t="s">
        <v>124</v>
      </c>
      <c r="B7" s="914">
        <v>0</v>
      </c>
      <c r="C7" s="851" t="s">
        <v>256</v>
      </c>
      <c r="D7" s="847" t="s">
        <v>294</v>
      </c>
    </row>
    <row r="8" spans="1:4" ht="33.75" customHeight="1">
      <c r="A8" s="896" t="s">
        <v>596</v>
      </c>
      <c r="B8" s="914">
        <v>0</v>
      </c>
      <c r="C8" s="1106" t="s">
        <v>798</v>
      </c>
      <c r="D8" s="1112"/>
    </row>
    <row r="9" spans="1:4">
      <c r="A9" s="897" t="s">
        <v>284</v>
      </c>
      <c r="B9" s="913">
        <v>0</v>
      </c>
      <c r="C9" s="1054" t="s">
        <v>30</v>
      </c>
      <c r="D9" s="1055"/>
    </row>
    <row r="10" spans="1:4" ht="12" thickBot="1">
      <c r="A10" s="131" t="s">
        <v>281</v>
      </c>
      <c r="B10" s="912">
        <v>0</v>
      </c>
      <c r="C10" s="1110" t="s">
        <v>30</v>
      </c>
      <c r="D10" s="1111"/>
    </row>
    <row r="11" spans="1:4" ht="12" thickBot="1">
      <c r="A11" s="1040"/>
      <c r="B11" s="1040"/>
      <c r="C11" s="1040"/>
      <c r="D11" s="1040"/>
    </row>
    <row r="12" spans="1:4" ht="12.75">
      <c r="A12" s="116" t="s">
        <v>5</v>
      </c>
      <c r="B12" s="117" t="s">
        <v>0</v>
      </c>
      <c r="C12" s="138" t="s">
        <v>4</v>
      </c>
      <c r="D12" s="855" t="s">
        <v>8</v>
      </c>
    </row>
    <row r="13" spans="1:4" ht="15">
      <c r="A13" s="848" t="s">
        <v>785</v>
      </c>
      <c r="B13" s="248">
        <f>(B2-0.032)*B4</f>
        <v>0</v>
      </c>
      <c r="C13" s="915"/>
      <c r="D13" s="848">
        <f t="shared" ref="D13:D41" si="0">C13*B13</f>
        <v>0</v>
      </c>
    </row>
    <row r="14" spans="1:4" ht="15">
      <c r="A14" s="848" t="s">
        <v>787</v>
      </c>
      <c r="B14" s="248">
        <f>ROUNDUP((((B2-0.15)/0.4)+2)*B4,0)</f>
        <v>0</v>
      </c>
      <c r="C14" s="915"/>
      <c r="D14" s="848">
        <f t="shared" si="0"/>
        <v>0</v>
      </c>
    </row>
    <row r="15" spans="1:4" ht="15">
      <c r="A15" s="848" t="s">
        <v>788</v>
      </c>
      <c r="B15" s="248">
        <f>B4*2</f>
        <v>0</v>
      </c>
      <c r="C15" s="915"/>
      <c r="D15" s="848">
        <f t="shared" si="0"/>
        <v>0</v>
      </c>
    </row>
    <row r="16" spans="1:4" ht="15">
      <c r="A16" s="848" t="s">
        <v>789</v>
      </c>
      <c r="B16" s="248">
        <f>B4</f>
        <v>0</v>
      </c>
      <c r="C16" s="915"/>
      <c r="D16" s="848">
        <f t="shared" si="0"/>
        <v>0</v>
      </c>
    </row>
    <row r="17" spans="1:4" ht="15">
      <c r="A17" s="848" t="s">
        <v>141</v>
      </c>
      <c r="B17" s="248">
        <f>B4</f>
        <v>0</v>
      </c>
      <c r="C17" s="915"/>
      <c r="D17" s="848">
        <f t="shared" si="0"/>
        <v>0</v>
      </c>
    </row>
    <row r="18" spans="1:4" ht="15">
      <c r="A18" s="848" t="s">
        <v>142</v>
      </c>
      <c r="B18" s="248">
        <f>B4</f>
        <v>0</v>
      </c>
      <c r="C18" s="915"/>
      <c r="D18" s="848">
        <f t="shared" si="0"/>
        <v>0</v>
      </c>
    </row>
    <row r="19" spans="1:4" ht="15">
      <c r="A19" s="848" t="s">
        <v>790</v>
      </c>
      <c r="B19" s="248">
        <f>ROUNDUP(((B2-0.15)/0.4)*B4,0)</f>
        <v>0</v>
      </c>
      <c r="C19" s="915"/>
      <c r="D19" s="848">
        <f t="shared" si="0"/>
        <v>0</v>
      </c>
    </row>
    <row r="20" spans="1:4" ht="15">
      <c r="A20" s="848" t="s">
        <v>791</v>
      </c>
      <c r="B20" s="248">
        <f>ROUNDUP(B2/0.4,0)*B4</f>
        <v>0</v>
      </c>
      <c r="C20" s="915"/>
      <c r="D20" s="848">
        <f t="shared" si="0"/>
        <v>0</v>
      </c>
    </row>
    <row r="21" spans="1:4" ht="15">
      <c r="A21" s="848" t="s">
        <v>792</v>
      </c>
      <c r="B21" s="248">
        <f>B4</f>
        <v>0</v>
      </c>
      <c r="C21" s="915"/>
      <c r="D21" s="848">
        <f t="shared" si="0"/>
        <v>0</v>
      </c>
    </row>
    <row r="22" spans="1:4" ht="15">
      <c r="A22" s="848" t="s">
        <v>270</v>
      </c>
      <c r="B22" s="248">
        <f>B20</f>
        <v>0</v>
      </c>
      <c r="C22" s="915"/>
      <c r="D22" s="848">
        <f t="shared" si="0"/>
        <v>0</v>
      </c>
    </row>
    <row r="23" spans="1:4" ht="15">
      <c r="A23" s="848" t="s">
        <v>793</v>
      </c>
      <c r="B23" s="248">
        <f>ROUNDUP((B2-0.03)/0.5,0)*B4</f>
        <v>0</v>
      </c>
      <c r="C23" s="915"/>
      <c r="D23" s="848">
        <f t="shared" si="0"/>
        <v>0</v>
      </c>
    </row>
    <row r="24" spans="1:4" ht="15">
      <c r="A24" s="848" t="s">
        <v>794</v>
      </c>
      <c r="B24" s="248">
        <f>ROUNDUP(B2/0.4,0)*B4</f>
        <v>0</v>
      </c>
      <c r="C24" s="916"/>
      <c r="D24" s="848">
        <f t="shared" si="0"/>
        <v>0</v>
      </c>
    </row>
    <row r="25" spans="1:4" ht="15">
      <c r="A25" s="848" t="s">
        <v>273</v>
      </c>
      <c r="B25" s="248">
        <f>(IF(B5=1,ROUNDUP(B3/0.3,0),0))*(B2-0.01)*B4</f>
        <v>0</v>
      </c>
      <c r="C25" s="916"/>
      <c r="D25" s="848">
        <f t="shared" si="0"/>
        <v>0</v>
      </c>
    </row>
    <row r="26" spans="1:4" ht="15">
      <c r="A26" s="848" t="s">
        <v>274</v>
      </c>
      <c r="B26" s="248">
        <f>(IF(B5=2,ROUNDUP(B3/0.3,0),0))*(B2-0.01)*B4</f>
        <v>0</v>
      </c>
      <c r="C26" s="915"/>
      <c r="D26" s="848">
        <f t="shared" si="0"/>
        <v>0</v>
      </c>
    </row>
    <row r="27" spans="1:4" ht="15">
      <c r="A27" s="848" t="s">
        <v>786</v>
      </c>
      <c r="B27" s="248">
        <f>(B2-0.08)*B4</f>
        <v>0</v>
      </c>
      <c r="C27" s="915"/>
      <c r="D27" s="848">
        <f t="shared" si="0"/>
        <v>0</v>
      </c>
    </row>
    <row r="28" spans="1:4" ht="15">
      <c r="A28" s="848" t="s">
        <v>293</v>
      </c>
      <c r="B28" s="248">
        <f>(IF(B6=2,(B2-0.01)*B4,0))</f>
        <v>0</v>
      </c>
      <c r="C28" s="915"/>
      <c r="D28" s="848">
        <f t="shared" si="0"/>
        <v>0</v>
      </c>
    </row>
    <row r="29" spans="1:4" ht="15">
      <c r="A29" s="848" t="s">
        <v>276</v>
      </c>
      <c r="B29" s="248">
        <f>(IF(B6=1,(B2-0.01)*B4,0))</f>
        <v>0</v>
      </c>
      <c r="C29" s="917"/>
      <c r="D29" s="848">
        <f t="shared" si="0"/>
        <v>0</v>
      </c>
    </row>
    <row r="30" spans="1:4" ht="15">
      <c r="A30" s="848" t="s">
        <v>796</v>
      </c>
      <c r="B30" s="248">
        <f>B4*4</f>
        <v>0</v>
      </c>
      <c r="C30" s="916"/>
      <c r="D30" s="848">
        <f t="shared" si="0"/>
        <v>0</v>
      </c>
    </row>
    <row r="31" spans="1:4" ht="15">
      <c r="A31" s="848" t="s">
        <v>795</v>
      </c>
      <c r="B31" s="248">
        <f>B20*(B3+0.2)</f>
        <v>0</v>
      </c>
      <c r="C31" s="916"/>
      <c r="D31" s="848">
        <f t="shared" si="0"/>
        <v>0</v>
      </c>
    </row>
    <row r="32" spans="1:4" ht="15">
      <c r="A32" s="848" t="s">
        <v>797</v>
      </c>
      <c r="B32" s="248">
        <f>ROUNDUP((((B2-0.15)/0.4)+2)*B4*2,0)</f>
        <v>0</v>
      </c>
      <c r="C32" s="917"/>
      <c r="D32" s="848">
        <f t="shared" si="0"/>
        <v>0</v>
      </c>
    </row>
    <row r="33" spans="1:4" ht="15">
      <c r="A33" s="848" t="s">
        <v>145</v>
      </c>
      <c r="B33" s="277">
        <f>B9*B4</f>
        <v>0</v>
      </c>
      <c r="C33" s="917"/>
      <c r="D33" s="848">
        <f t="shared" si="0"/>
        <v>0</v>
      </c>
    </row>
    <row r="34" spans="1:4" ht="15">
      <c r="A34" s="27" t="s">
        <v>696</v>
      </c>
      <c r="B34" s="277">
        <f>B10*B4</f>
        <v>0</v>
      </c>
      <c r="C34" s="917"/>
      <c r="D34" s="848">
        <f t="shared" si="0"/>
        <v>0</v>
      </c>
    </row>
    <row r="35" spans="1:4" ht="15">
      <c r="A35" s="276" t="s">
        <v>124</v>
      </c>
      <c r="B35" s="277">
        <f>IF(B7=1,B2*B4,0)</f>
        <v>0</v>
      </c>
      <c r="C35" s="917"/>
      <c r="D35" s="848">
        <f t="shared" si="0"/>
        <v>0</v>
      </c>
    </row>
    <row r="36" spans="1:4" ht="15">
      <c r="A36" s="1107" t="s">
        <v>242</v>
      </c>
      <c r="B36" s="1108"/>
      <c r="C36" s="1108"/>
      <c r="D36" s="1109"/>
    </row>
    <row r="37" spans="1:4" ht="15">
      <c r="A37" s="485" t="s">
        <v>496</v>
      </c>
      <c r="B37" s="918">
        <f>IF(B8=1,B4,0)</f>
        <v>0</v>
      </c>
      <c r="C37" s="919"/>
      <c r="D37" s="848">
        <f t="shared" si="0"/>
        <v>0</v>
      </c>
    </row>
    <row r="38" spans="1:4" ht="15">
      <c r="A38" s="487" t="s">
        <v>493</v>
      </c>
      <c r="B38" s="918">
        <f>IF(B8=2,B4,0)</f>
        <v>0</v>
      </c>
      <c r="C38" s="919"/>
      <c r="D38" s="848">
        <f t="shared" si="0"/>
        <v>0</v>
      </c>
    </row>
    <row r="39" spans="1:4" ht="15">
      <c r="A39" s="487" t="s">
        <v>494</v>
      </c>
      <c r="B39" s="918">
        <f>IF(B8=3,B4,0)</f>
        <v>0</v>
      </c>
      <c r="C39" s="919"/>
      <c r="D39" s="848">
        <f t="shared" si="0"/>
        <v>0</v>
      </c>
    </row>
    <row r="40" spans="1:4" ht="15">
      <c r="A40" s="487" t="s">
        <v>495</v>
      </c>
      <c r="B40" s="918">
        <f>IF(B8=4,B4,0)</f>
        <v>0</v>
      </c>
      <c r="C40" s="919"/>
      <c r="D40" s="848">
        <f t="shared" si="0"/>
        <v>0</v>
      </c>
    </row>
    <row r="41" spans="1:4" ht="15">
      <c r="A41" s="487" t="s">
        <v>501</v>
      </c>
      <c r="B41" s="918">
        <f>IF(B8=5,B4,0)</f>
        <v>0</v>
      </c>
      <c r="C41" s="919"/>
      <c r="D41" s="848">
        <f t="shared" si="0"/>
        <v>0</v>
      </c>
    </row>
  </sheetData>
  <sheetProtection algorithmName="SHA-512" hashValue="HrbCAqX+glGiyOVWaFJMfZJ+PghL5PJjO4Q3ewrw5onmnD1dCIMA01+Hra814cV3tr3UB2Y+QoAA5dT7G3GBtQ==" saltValue="vep3NdD96/voOngDHHJPOQ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79" activePane="bottomLeft" state="frozen"/>
      <selection pane="bottomLeft" activeCell="G91" sqref="G9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74"/>
      <c r="B1" s="1114"/>
      <c r="C1" s="1115"/>
      <c r="D1" s="1115"/>
      <c r="E1" s="1115"/>
      <c r="F1" s="475"/>
      <c r="G1" s="475"/>
      <c r="H1" s="474"/>
      <c r="I1" s="474"/>
      <c r="J1" s="474"/>
      <c r="K1" s="474"/>
    </row>
    <row r="2" spans="1:16" ht="12" customHeight="1" thickBot="1">
      <c r="A2" s="474"/>
      <c r="B2" s="476" t="s">
        <v>10</v>
      </c>
      <c r="C2" s="527">
        <v>0</v>
      </c>
      <c r="D2" s="1116" t="s">
        <v>602</v>
      </c>
      <c r="E2" s="1117"/>
      <c r="F2" s="1118"/>
      <c r="G2" s="477"/>
      <c r="H2" s="478" t="s">
        <v>492</v>
      </c>
      <c r="I2" s="479" t="s">
        <v>611</v>
      </c>
      <c r="J2" s="479" t="s">
        <v>4</v>
      </c>
      <c r="K2" s="480" t="s">
        <v>8</v>
      </c>
      <c r="L2" s="319"/>
      <c r="M2" s="319"/>
    </row>
    <row r="3" spans="1:16" ht="12" customHeight="1" thickBot="1">
      <c r="A3" s="474"/>
      <c r="B3" s="481" t="s">
        <v>1</v>
      </c>
      <c r="C3" s="528"/>
      <c r="D3" s="1119"/>
      <c r="E3" s="1120"/>
      <c r="F3" s="1121"/>
      <c r="G3" s="477"/>
      <c r="H3" s="640" t="s">
        <v>379</v>
      </c>
      <c r="I3" s="641" t="str">
        <f>IF(AND($C$10+$C$11=1,$C$12+$C$13+$C$14+$C$15=0,$C$16=2),"ДА","НЕТ")</f>
        <v>НЕТ</v>
      </c>
      <c r="J3" s="642"/>
      <c r="K3" s="643">
        <f>IF(I3="ДА",($C$4+$C$5+$C$6+$C$7+$C$8+$C$9)*J3,0)</f>
        <v>0</v>
      </c>
      <c r="L3" s="329"/>
    </row>
    <row r="4" spans="1:16" ht="11.25" customHeight="1">
      <c r="A4" s="474"/>
      <c r="B4" s="484" t="s">
        <v>527</v>
      </c>
      <c r="C4" s="529">
        <v>1</v>
      </c>
      <c r="D4" s="1117" t="s">
        <v>603</v>
      </c>
      <c r="E4" s="1117"/>
      <c r="F4" s="1118"/>
      <c r="G4" s="477"/>
      <c r="H4" s="485" t="s">
        <v>380</v>
      </c>
      <c r="I4" s="483" t="str">
        <f>IF(AND($C$10+$C$11=1,$C$12+$C$13+$C$14+$C$15=0,$C$16=2),"ДА","НЕТ")</f>
        <v>НЕТ</v>
      </c>
      <c r="J4" s="464"/>
      <c r="K4" s="388">
        <f t="shared" ref="K4:K21" si="0">IF(I4="ДА",($C$4+$C$5+$C$6+$C$7+$C$8+$C$9)*J4,0)</f>
        <v>0</v>
      </c>
      <c r="L4" s="329"/>
      <c r="M4" s="536"/>
    </row>
    <row r="5" spans="1:16" ht="11.25" customHeight="1">
      <c r="A5" s="474"/>
      <c r="B5" s="486" t="s">
        <v>398</v>
      </c>
      <c r="C5" s="530"/>
      <c r="D5" s="1122"/>
      <c r="E5" s="1122"/>
      <c r="F5" s="1123"/>
      <c r="G5" s="477"/>
      <c r="H5" s="485" t="s">
        <v>381</v>
      </c>
      <c r="I5" s="483" t="str">
        <f>IF(AND($C$10+$C$11=1,$C$12+$C$13+$C$14+$C$15=0,$C$16=2),"ДА","НЕТ")</f>
        <v>НЕТ</v>
      </c>
      <c r="J5" s="464"/>
      <c r="K5" s="388">
        <f t="shared" si="0"/>
        <v>0</v>
      </c>
      <c r="L5" s="329"/>
      <c r="M5" s="536"/>
    </row>
    <row r="6" spans="1:16" ht="12" customHeight="1">
      <c r="A6" s="474"/>
      <c r="B6" s="486" t="s">
        <v>399</v>
      </c>
      <c r="C6" s="530">
        <v>0</v>
      </c>
      <c r="D6" s="1122"/>
      <c r="E6" s="1122"/>
      <c r="F6" s="1123"/>
      <c r="G6" s="477"/>
      <c r="H6" s="487" t="s">
        <v>383</v>
      </c>
      <c r="I6" s="483" t="str">
        <f>IF(AND($C$10+$C$11=1,$C$12+$C$13+$C$14+$C$15=0,$C$16=3),"ДА","НЕТ")</f>
        <v>НЕТ</v>
      </c>
      <c r="J6" s="391"/>
      <c r="K6" s="388">
        <f t="shared" si="0"/>
        <v>0</v>
      </c>
      <c r="L6" s="329"/>
      <c r="M6" s="536"/>
    </row>
    <row r="7" spans="1:16" ht="11.25" customHeight="1">
      <c r="A7" s="474"/>
      <c r="B7" s="488" t="s">
        <v>553</v>
      </c>
      <c r="C7" s="531">
        <v>0</v>
      </c>
      <c r="D7" s="1122"/>
      <c r="E7" s="1122"/>
      <c r="F7" s="1123"/>
      <c r="G7" s="477"/>
      <c r="H7" s="485" t="s">
        <v>496</v>
      </c>
      <c r="I7" s="483" t="str">
        <f>IF(AND($C$12=1,$C$11+$C$13+$C$14+$C$15=0,$C$16=1),"ДА","НЕТ")</f>
        <v>НЕТ</v>
      </c>
      <c r="J7" s="464"/>
      <c r="K7" s="388">
        <f t="shared" si="0"/>
        <v>0</v>
      </c>
      <c r="L7" s="329"/>
      <c r="M7" s="536"/>
      <c r="N7" s="318"/>
      <c r="O7" s="318"/>
      <c r="P7" s="318"/>
    </row>
    <row r="8" spans="1:16" ht="11.25" customHeight="1">
      <c r="A8" s="474"/>
      <c r="B8" s="486" t="s">
        <v>554</v>
      </c>
      <c r="C8" s="530">
        <v>0</v>
      </c>
      <c r="D8" s="1122"/>
      <c r="E8" s="1122"/>
      <c r="F8" s="1123"/>
      <c r="G8" s="477"/>
      <c r="H8" s="487" t="s">
        <v>493</v>
      </c>
      <c r="I8" s="483" t="str">
        <f>IF(AND($C$12=1,$C$11+$C$13+$C$14+$C$15=0,$C$16=3),"ДА","НЕТ")</f>
        <v>НЕТ</v>
      </c>
      <c r="J8" s="391"/>
      <c r="K8" s="388">
        <f t="shared" si="0"/>
        <v>0</v>
      </c>
      <c r="L8" s="329"/>
      <c r="M8" s="536"/>
    </row>
    <row r="9" spans="1:16" ht="12" customHeight="1" thickBot="1">
      <c r="A9" s="474"/>
      <c r="B9" s="481" t="s">
        <v>555</v>
      </c>
      <c r="C9" s="532">
        <v>0</v>
      </c>
      <c r="D9" s="1120"/>
      <c r="E9" s="1120"/>
      <c r="F9" s="1121"/>
      <c r="G9" s="477"/>
      <c r="H9" s="487" t="s">
        <v>494</v>
      </c>
      <c r="I9" s="483" t="str">
        <f>IF(AND($C$12=1,$C$11+$C$13+$C$14+$C$15=0,$C$16=2),"ДА","НЕТ")</f>
        <v>НЕТ</v>
      </c>
      <c r="J9" s="391"/>
      <c r="K9" s="388">
        <f t="shared" si="0"/>
        <v>0</v>
      </c>
      <c r="L9" s="329"/>
      <c r="M9" s="536"/>
      <c r="N9" s="86"/>
      <c r="O9" s="86"/>
    </row>
    <row r="10" spans="1:16" ht="11.25" customHeight="1">
      <c r="A10" s="474"/>
      <c r="B10" s="476" t="s">
        <v>528</v>
      </c>
      <c r="C10" s="533">
        <v>0</v>
      </c>
      <c r="D10" s="489" t="s">
        <v>294</v>
      </c>
      <c r="E10" s="490" t="s">
        <v>256</v>
      </c>
      <c r="F10" s="1124" t="s">
        <v>603</v>
      </c>
      <c r="G10" s="477"/>
      <c r="H10" s="487" t="s">
        <v>495</v>
      </c>
      <c r="I10" s="483" t="str">
        <f>IF(AND($C$12=1,$C$11+$C$13+$C$14+$C$15=0,$C$16=2),"ДА","НЕТ")</f>
        <v>НЕТ</v>
      </c>
      <c r="J10" s="391"/>
      <c r="K10" s="388">
        <f t="shared" si="0"/>
        <v>0</v>
      </c>
      <c r="L10" s="329"/>
      <c r="M10" s="536"/>
      <c r="N10" s="86"/>
      <c r="O10" s="86"/>
    </row>
    <row r="11" spans="1:16" ht="11.25" customHeight="1">
      <c r="A11" s="474"/>
      <c r="B11" s="488" t="s">
        <v>497</v>
      </c>
      <c r="C11" s="531"/>
      <c r="D11" s="491" t="s">
        <v>294</v>
      </c>
      <c r="E11" s="492" t="s">
        <v>256</v>
      </c>
      <c r="F11" s="1125"/>
      <c r="G11" s="477"/>
      <c r="H11" s="487" t="s">
        <v>501</v>
      </c>
      <c r="I11" s="483" t="str">
        <f>IF(AND($C$12=1,$C$11+$C$13+$C$14+$C$15=0,$C$16=2),"ДА","НЕТ")</f>
        <v>НЕТ</v>
      </c>
      <c r="J11" s="391"/>
      <c r="K11" s="388">
        <f t="shared" si="0"/>
        <v>0</v>
      </c>
      <c r="L11" s="329"/>
      <c r="M11" s="536"/>
      <c r="N11" s="86"/>
      <c r="O11" s="86"/>
    </row>
    <row r="12" spans="1:16" ht="12" customHeight="1">
      <c r="A12" s="474"/>
      <c r="B12" s="486" t="s">
        <v>498</v>
      </c>
      <c r="C12" s="530">
        <v>0</v>
      </c>
      <c r="D12" s="493" t="s">
        <v>294</v>
      </c>
      <c r="E12" s="494" t="s">
        <v>256</v>
      </c>
      <c r="F12" s="1125"/>
      <c r="G12" s="495"/>
      <c r="H12" s="487" t="s">
        <v>680</v>
      </c>
      <c r="I12" s="483" t="str">
        <f>IF(AND($C$13=1,$C$10+$C$11+$C$12+$C$14+$C$15=0,$C$16=2),"ДА","НЕТ")</f>
        <v>НЕТ</v>
      </c>
      <c r="J12" s="391"/>
      <c r="K12" s="388">
        <f t="shared" si="0"/>
        <v>0</v>
      </c>
      <c r="L12" s="329"/>
      <c r="M12" s="536"/>
    </row>
    <row r="13" spans="1:16" ht="11.25" customHeight="1">
      <c r="A13" s="474"/>
      <c r="B13" s="488" t="s">
        <v>529</v>
      </c>
      <c r="C13" s="531">
        <v>1</v>
      </c>
      <c r="D13" s="491" t="s">
        <v>294</v>
      </c>
      <c r="E13" s="492" t="s">
        <v>256</v>
      </c>
      <c r="F13" s="1125"/>
      <c r="G13" s="477"/>
      <c r="H13" s="487" t="s">
        <v>525</v>
      </c>
      <c r="I13" s="483" t="str">
        <f>IF(AND($C$13=1,$C$10+$C$11+$C$12+$C$14+$C$15=0,$C$16=2),"ДА","НЕТ")</f>
        <v>НЕТ</v>
      </c>
      <c r="J13" s="391"/>
      <c r="K13" s="388">
        <f t="shared" si="0"/>
        <v>0</v>
      </c>
      <c r="L13" s="329"/>
      <c r="M13" s="536"/>
    </row>
    <row r="14" spans="1:16" ht="11.25" customHeight="1">
      <c r="A14" s="474"/>
      <c r="B14" s="488" t="s">
        <v>499</v>
      </c>
      <c r="C14" s="531">
        <v>0</v>
      </c>
      <c r="D14" s="493" t="s">
        <v>294</v>
      </c>
      <c r="E14" s="494" t="s">
        <v>256</v>
      </c>
      <c r="F14" s="1125"/>
      <c r="G14" s="477"/>
      <c r="H14" s="487" t="s">
        <v>526</v>
      </c>
      <c r="I14" s="483" t="str">
        <f>IF(AND($C$13=1,$C$10+$C$11+$C$12+$C$14+$C$15=0,$C$16=1),"ДА","НЕТ")</f>
        <v>ДА</v>
      </c>
      <c r="J14" s="391"/>
      <c r="K14" s="388">
        <f t="shared" si="0"/>
        <v>0</v>
      </c>
      <c r="L14" s="329"/>
      <c r="M14" s="536"/>
    </row>
    <row r="15" spans="1:16" ht="12" customHeight="1" thickBot="1">
      <c r="A15" s="474"/>
      <c r="B15" s="481" t="s">
        <v>500</v>
      </c>
      <c r="C15" s="532">
        <v>0</v>
      </c>
      <c r="D15" s="496" t="s">
        <v>294</v>
      </c>
      <c r="E15" s="497" t="s">
        <v>256</v>
      </c>
      <c r="F15" s="1126"/>
      <c r="G15" s="495"/>
      <c r="H15" s="485" t="s">
        <v>386</v>
      </c>
      <c r="I15" s="483" t="str">
        <f>IF(AND($C$14=1,$C$10+$C$11+$C$12+$C$13+$C$15=0,$C$16=2),"ДА","НЕТ")</f>
        <v>НЕТ</v>
      </c>
      <c r="J15" s="394"/>
      <c r="K15" s="388">
        <f t="shared" si="0"/>
        <v>0</v>
      </c>
      <c r="L15" s="329"/>
      <c r="M15" s="536"/>
    </row>
    <row r="16" spans="1:16" ht="12" customHeight="1" thickBot="1">
      <c r="A16" s="474"/>
      <c r="B16" s="498" t="s">
        <v>596</v>
      </c>
      <c r="C16" s="534">
        <v>1</v>
      </c>
      <c r="D16" s="499" t="s">
        <v>626</v>
      </c>
      <c r="E16" s="497" t="s">
        <v>627</v>
      </c>
      <c r="F16" s="785" t="s">
        <v>628</v>
      </c>
      <c r="G16" s="495"/>
      <c r="H16" s="482" t="s">
        <v>388</v>
      </c>
      <c r="I16" s="483" t="str">
        <f>IF(AND($C$14=1,$C$10+$C$11+$C$12+$C$13+$C$15=0,$C$16=1),"ДА","НЕТ")</f>
        <v>НЕТ</v>
      </c>
      <c r="J16" s="394"/>
      <c r="K16" s="388">
        <f t="shared" si="0"/>
        <v>0</v>
      </c>
      <c r="L16" s="329"/>
      <c r="M16" s="536"/>
    </row>
    <row r="17" spans="1:13" ht="12" customHeight="1" thickBot="1">
      <c r="A17" s="474"/>
      <c r="B17" s="498" t="s">
        <v>538</v>
      </c>
      <c r="C17" s="534">
        <v>0</v>
      </c>
      <c r="D17" s="502" t="s">
        <v>294</v>
      </c>
      <c r="E17" s="786" t="s">
        <v>256</v>
      </c>
      <c r="F17" s="539" t="s">
        <v>675</v>
      </c>
      <c r="G17" s="477"/>
      <c r="H17" s="482" t="s">
        <v>389</v>
      </c>
      <c r="I17" s="483" t="str">
        <f>IF(AND($C$14=1,$C$10+$C$11+$C$12+$C$13+$C$15=0,$C$16=3),"ДА","НЕТ")</f>
        <v>НЕТ</v>
      </c>
      <c r="J17" s="394"/>
      <c r="K17" s="388">
        <f t="shared" si="0"/>
        <v>0</v>
      </c>
      <c r="L17" s="329"/>
      <c r="M17" s="536"/>
    </row>
    <row r="18" spans="1:13" ht="12" customHeight="1" thickBot="1">
      <c r="A18" s="474"/>
      <c r="B18" s="509" t="s">
        <v>539</v>
      </c>
      <c r="C18" s="535">
        <v>0</v>
      </c>
      <c r="D18" s="496" t="s">
        <v>294</v>
      </c>
      <c r="E18" s="497" t="s">
        <v>256</v>
      </c>
      <c r="F18" s="537"/>
      <c r="G18" s="477"/>
      <c r="H18" s="482" t="s">
        <v>390</v>
      </c>
      <c r="I18" s="483" t="str">
        <f>IF(AND($C$15=1,$C$10+$C$11+$C$12+$C$13+$C$14=0,$C$16=1),"ДА","НЕТ")</f>
        <v>НЕТ</v>
      </c>
      <c r="J18" s="394"/>
      <c r="K18" s="388">
        <f t="shared" si="0"/>
        <v>0</v>
      </c>
      <c r="L18" s="329"/>
      <c r="M18" s="536"/>
    </row>
    <row r="19" spans="1:13" ht="12" customHeight="1" thickBot="1">
      <c r="A19" s="474"/>
      <c r="B19" s="498" t="s">
        <v>400</v>
      </c>
      <c r="C19" s="534">
        <v>0</v>
      </c>
      <c r="D19" s="501" t="s">
        <v>401</v>
      </c>
      <c r="E19" s="786" t="s">
        <v>402</v>
      </c>
      <c r="F19" s="538"/>
      <c r="G19" s="504"/>
      <c r="H19" s="485" t="s">
        <v>391</v>
      </c>
      <c r="I19" s="483" t="str">
        <f>IF(AND($C$15=1,$C$10+$C$11+$C$12+$C$13+$C$14=0,$C$16=1),"ДА","НЕТ")</f>
        <v>НЕТ</v>
      </c>
      <c r="J19" s="394"/>
      <c r="K19" s="388">
        <f t="shared" si="0"/>
        <v>0</v>
      </c>
      <c r="L19" s="329"/>
      <c r="M19" s="536"/>
    </row>
    <row r="20" spans="1:13" ht="12" customHeight="1" thickBot="1">
      <c r="A20" s="474"/>
      <c r="B20" s="498" t="s">
        <v>729</v>
      </c>
      <c r="C20" s="535">
        <v>0</v>
      </c>
      <c r="D20" s="496" t="s">
        <v>294</v>
      </c>
      <c r="E20" s="497" t="s">
        <v>256</v>
      </c>
      <c r="F20" s="537"/>
      <c r="G20" s="504"/>
      <c r="H20" s="482" t="s">
        <v>395</v>
      </c>
      <c r="I20" s="483" t="str">
        <f>IF(AND($C$15=1,$C$10+$C$11+$C$12+$C$13+$C$14=0,$C$16=2),"ДА","НЕТ")</f>
        <v>НЕТ</v>
      </c>
      <c r="J20" s="394"/>
      <c r="K20" s="388">
        <f t="shared" si="0"/>
        <v>0</v>
      </c>
      <c r="L20" s="329"/>
      <c r="M20" s="536"/>
    </row>
    <row r="21" spans="1:13" ht="11.25" customHeight="1" thickBot="1">
      <c r="A21" s="474"/>
      <c r="B21" s="498" t="s">
        <v>365</v>
      </c>
      <c r="C21" s="534">
        <v>0</v>
      </c>
      <c r="D21" s="502" t="s">
        <v>629</v>
      </c>
      <c r="E21" s="786" t="s">
        <v>630</v>
      </c>
      <c r="F21" s="505" t="s">
        <v>631</v>
      </c>
      <c r="G21" s="477"/>
      <c r="H21" s="506" t="s">
        <v>396</v>
      </c>
      <c r="I21" s="507" t="str">
        <f>IF(AND($C$15=1,$C$10+$C$11+$C$12+$C$13+$C$14=0,$C$16=2),"ДА","НЕТ")</f>
        <v>НЕТ</v>
      </c>
      <c r="J21" s="401"/>
      <c r="K21" s="544">
        <f t="shared" si="0"/>
        <v>0</v>
      </c>
      <c r="L21" s="329"/>
      <c r="M21" s="536"/>
    </row>
    <row r="22" spans="1:13" ht="11.25" customHeight="1">
      <c r="A22" s="474"/>
      <c r="B22" s="476" t="s">
        <v>368</v>
      </c>
      <c r="C22" s="533">
        <v>0</v>
      </c>
      <c r="D22" s="489" t="s">
        <v>294</v>
      </c>
      <c r="E22" s="490" t="s">
        <v>256</v>
      </c>
      <c r="F22" s="1124" t="s">
        <v>604</v>
      </c>
      <c r="G22" s="477"/>
      <c r="H22" s="508"/>
      <c r="I22" s="508"/>
      <c r="J22" s="508"/>
      <c r="K22" s="508"/>
      <c r="L22" s="329"/>
      <c r="M22" s="536"/>
    </row>
    <row r="23" spans="1:13" ht="11.25" customHeight="1">
      <c r="A23" s="474"/>
      <c r="B23" s="486" t="s">
        <v>369</v>
      </c>
      <c r="C23" s="530">
        <v>0</v>
      </c>
      <c r="D23" s="493" t="s">
        <v>294</v>
      </c>
      <c r="E23" s="494" t="s">
        <v>256</v>
      </c>
      <c r="F23" s="1125"/>
      <c r="G23" s="477"/>
      <c r="H23" s="508"/>
      <c r="I23" s="508"/>
      <c r="J23" s="508"/>
      <c r="K23" s="508"/>
      <c r="L23" s="329"/>
      <c r="M23" s="536"/>
    </row>
    <row r="24" spans="1:13" ht="12" customHeight="1">
      <c r="A24" s="474"/>
      <c r="B24" s="486" t="s">
        <v>473</v>
      </c>
      <c r="C24" s="530">
        <v>0</v>
      </c>
      <c r="D24" s="493" t="s">
        <v>294</v>
      </c>
      <c r="E24" s="494" t="s">
        <v>256</v>
      </c>
      <c r="F24" s="1125"/>
      <c r="G24" s="477"/>
      <c r="H24" s="510"/>
      <c r="I24" s="510"/>
      <c r="J24" s="508"/>
      <c r="K24" s="508"/>
      <c r="L24" s="313"/>
      <c r="M24" s="313"/>
    </row>
    <row r="25" spans="1:13" ht="12" customHeight="1" thickBot="1">
      <c r="A25" s="474"/>
      <c r="B25" s="583" t="s">
        <v>530</v>
      </c>
      <c r="C25" s="582">
        <v>0</v>
      </c>
      <c r="D25" s="695" t="s">
        <v>294</v>
      </c>
      <c r="E25" s="585" t="s">
        <v>256</v>
      </c>
      <c r="F25" s="1125"/>
      <c r="G25" s="784"/>
      <c r="H25" s="510"/>
      <c r="I25" s="510"/>
      <c r="J25" s="508"/>
      <c r="K25" s="508"/>
      <c r="L25" s="313"/>
      <c r="M25" s="313"/>
    </row>
    <row r="26" spans="1:13" ht="12" customHeight="1">
      <c r="A26" s="474"/>
      <c r="B26" s="476" t="s">
        <v>147</v>
      </c>
      <c r="C26" s="533">
        <v>0</v>
      </c>
      <c r="D26" s="1127" t="s">
        <v>693</v>
      </c>
      <c r="E26" s="1128"/>
      <c r="F26" s="1129"/>
      <c r="G26" s="784"/>
      <c r="H26" s="510"/>
      <c r="I26" s="510"/>
      <c r="J26" s="508"/>
      <c r="K26" s="508"/>
      <c r="L26" s="313"/>
      <c r="M26" s="313"/>
    </row>
    <row r="27" spans="1:13" ht="12" customHeight="1">
      <c r="A27" s="474"/>
      <c r="B27" s="486" t="s">
        <v>146</v>
      </c>
      <c r="C27" s="530">
        <v>0</v>
      </c>
      <c r="D27" s="1130" t="s">
        <v>694</v>
      </c>
      <c r="E27" s="1131"/>
      <c r="F27" s="1132"/>
      <c r="G27" s="784"/>
      <c r="H27" s="510"/>
      <c r="I27" s="510"/>
      <c r="J27" s="508"/>
      <c r="K27" s="508"/>
      <c r="L27" s="313"/>
      <c r="M27" s="313"/>
    </row>
    <row r="28" spans="1:13" ht="12" customHeight="1" thickBot="1">
      <c r="A28" s="474"/>
      <c r="B28" s="481" t="s">
        <v>143</v>
      </c>
      <c r="C28" s="532">
        <v>0</v>
      </c>
      <c r="D28" s="1133" t="s">
        <v>695</v>
      </c>
      <c r="E28" s="1134"/>
      <c r="F28" s="1135"/>
      <c r="G28" s="477"/>
      <c r="H28" s="512"/>
      <c r="I28" s="508"/>
      <c r="J28" s="508"/>
      <c r="K28" s="508"/>
    </row>
    <row r="29" spans="1:13" ht="12.75" customHeight="1" thickBot="1">
      <c r="A29" s="474"/>
      <c r="B29" s="1113"/>
      <c r="C29" s="1113"/>
      <c r="D29" s="1113"/>
      <c r="E29" s="1113"/>
      <c r="F29" s="477"/>
      <c r="G29" s="517"/>
      <c r="H29" s="512"/>
      <c r="I29" s="508"/>
      <c r="J29" s="508"/>
      <c r="K29" s="508"/>
    </row>
    <row r="30" spans="1:13" ht="12" customHeight="1">
      <c r="A30" s="474"/>
      <c r="B30" s="513" t="s">
        <v>5</v>
      </c>
      <c r="C30" s="514" t="s">
        <v>0</v>
      </c>
      <c r="D30" s="515" t="s">
        <v>4</v>
      </c>
      <c r="E30" s="516" t="s">
        <v>8</v>
      </c>
      <c r="F30" s="517"/>
      <c r="G30" s="414"/>
      <c r="H30" s="477"/>
      <c r="I30" s="477"/>
      <c r="J30" s="508"/>
      <c r="K30" s="508"/>
    </row>
    <row r="31" spans="1:13">
      <c r="A31" s="474"/>
      <c r="B31" s="518" t="s">
        <v>612</v>
      </c>
      <c r="C31" s="411">
        <f>IF(C17=0,C24*(C4+C5+C6+C7+C8+C9),0)</f>
        <v>0</v>
      </c>
      <c r="D31" s="465"/>
      <c r="E31" s="413">
        <f>C31*D31</f>
        <v>0</v>
      </c>
      <c r="F31" s="414"/>
      <c r="G31" s="414"/>
      <c r="H31" s="508"/>
      <c r="I31" s="508"/>
      <c r="J31" s="508"/>
      <c r="K31" s="508"/>
    </row>
    <row r="32" spans="1:13">
      <c r="A32" s="474"/>
      <c r="B32" s="518" t="s">
        <v>570</v>
      </c>
      <c r="C32" s="411">
        <f>IF(C17=0,C25*(C4+C5+C6+C7+C8+C9),0)</f>
        <v>0</v>
      </c>
      <c r="D32" s="465"/>
      <c r="E32" s="413">
        <f t="shared" ref="E32:E93" si="1">C32*D32</f>
        <v>0</v>
      </c>
      <c r="F32" s="414"/>
      <c r="G32" s="414"/>
      <c r="H32" s="519"/>
      <c r="I32" s="477"/>
      <c r="J32" s="508"/>
      <c r="K32" s="508"/>
    </row>
    <row r="33" spans="1:11">
      <c r="A33" s="474"/>
      <c r="B33" s="518" t="s">
        <v>613</v>
      </c>
      <c r="C33" s="411">
        <f>IF(C17=1,C24*C17*(C4+C5+C6+C7+C8+C9),0)</f>
        <v>0</v>
      </c>
      <c r="D33" s="465"/>
      <c r="E33" s="413">
        <f t="shared" si="1"/>
        <v>0</v>
      </c>
      <c r="F33" s="414"/>
      <c r="G33" s="414"/>
      <c r="H33" s="519"/>
      <c r="I33" s="477"/>
      <c r="J33" s="508"/>
      <c r="K33" s="508"/>
    </row>
    <row r="34" spans="1:11">
      <c r="A34" s="474"/>
      <c r="B34" s="518" t="s">
        <v>117</v>
      </c>
      <c r="C34" s="411">
        <f>IF(C17=0,(C22+C23)*2*(C4+C5+C6+C7+C8+C9),0)</f>
        <v>0</v>
      </c>
      <c r="D34" s="465"/>
      <c r="E34" s="413">
        <f t="shared" si="1"/>
        <v>0</v>
      </c>
      <c r="F34" s="414"/>
      <c r="G34" s="414"/>
      <c r="H34" s="519"/>
      <c r="I34" s="477"/>
      <c r="J34" s="508"/>
      <c r="K34" s="508"/>
    </row>
    <row r="35" spans="1:11">
      <c r="A35" s="474"/>
      <c r="B35" s="410" t="s">
        <v>730</v>
      </c>
      <c r="C35" s="411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465"/>
      <c r="E35" s="413">
        <f t="shared" si="1"/>
        <v>0</v>
      </c>
      <c r="F35" s="414"/>
      <c r="G35" s="414"/>
      <c r="H35" s="519"/>
      <c r="I35" s="841"/>
      <c r="J35" s="508"/>
      <c r="K35" s="508"/>
    </row>
    <row r="36" spans="1:11">
      <c r="A36" s="474"/>
      <c r="B36" s="520" t="s">
        <v>486</v>
      </c>
      <c r="C36" s="416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466"/>
      <c r="E36" s="413">
        <f t="shared" si="1"/>
        <v>0</v>
      </c>
      <c r="F36" s="414"/>
      <c r="G36" s="414"/>
      <c r="H36" s="519"/>
      <c r="I36" s="477"/>
      <c r="J36" s="508"/>
      <c r="K36" s="508"/>
    </row>
    <row r="37" spans="1:11">
      <c r="A37" s="474"/>
      <c r="B37" s="520" t="s">
        <v>454</v>
      </c>
      <c r="C37" s="416">
        <f>IF(AND(C21=1,C18=0),(C4+C5+C6+C7+C8+C9)*2,0)</f>
        <v>0</v>
      </c>
      <c r="D37" s="422"/>
      <c r="E37" s="413">
        <f t="shared" si="1"/>
        <v>0</v>
      </c>
      <c r="F37" s="414"/>
      <c r="G37" s="414"/>
      <c r="H37" s="519"/>
      <c r="I37" s="783"/>
      <c r="J37" s="508"/>
      <c r="K37" s="508"/>
    </row>
    <row r="38" spans="1:11">
      <c r="A38" s="474"/>
      <c r="B38" s="520" t="s">
        <v>454</v>
      </c>
      <c r="C38" s="416">
        <f>IF(AND(C21=1,C19=1,C18=1),(C4+C5+C6+C7+C8+C9),0)</f>
        <v>0</v>
      </c>
      <c r="D38" s="422"/>
      <c r="E38" s="413">
        <f>C38*D38</f>
        <v>0</v>
      </c>
      <c r="F38" s="414"/>
      <c r="G38" s="414"/>
      <c r="H38" s="519"/>
      <c r="I38" s="477"/>
      <c r="J38" s="508"/>
      <c r="K38" s="508"/>
    </row>
    <row r="39" spans="1:11">
      <c r="A39" s="474"/>
      <c r="B39" s="520" t="s">
        <v>556</v>
      </c>
      <c r="C39" s="416">
        <f>IF(AND(C21=1,C19=1,C18=1),(C5+C6+C7+C8+C9+C4),0)</f>
        <v>0</v>
      </c>
      <c r="D39" s="422"/>
      <c r="E39" s="413">
        <f t="shared" si="1"/>
        <v>0</v>
      </c>
      <c r="F39" s="414"/>
      <c r="G39" s="414"/>
      <c r="H39" s="519"/>
      <c r="I39" s="477"/>
      <c r="J39" s="508"/>
      <c r="K39" s="508"/>
    </row>
    <row r="40" spans="1:11">
      <c r="A40" s="474"/>
      <c r="B40" s="520" t="s">
        <v>456</v>
      </c>
      <c r="C40" s="416">
        <f>IF(AND(C19=1,C21=2,C18=1),(C4+C5+C6+C7+C8+C9),0)</f>
        <v>0</v>
      </c>
      <c r="D40" s="422"/>
      <c r="E40" s="413">
        <f t="shared" si="1"/>
        <v>0</v>
      </c>
      <c r="F40" s="414"/>
      <c r="G40" s="414"/>
      <c r="H40" s="519"/>
      <c r="I40" s="477"/>
      <c r="J40" s="508"/>
      <c r="K40" s="508"/>
    </row>
    <row r="41" spans="1:11">
      <c r="A41" s="474"/>
      <c r="B41" s="520" t="s">
        <v>557</v>
      </c>
      <c r="C41" s="416">
        <f>IF(C21=3,(C9+C4+C5+C6+C7+C8)*2,0)</f>
        <v>0</v>
      </c>
      <c r="D41" s="422"/>
      <c r="E41" s="413">
        <f t="shared" si="1"/>
        <v>0</v>
      </c>
      <c r="F41" s="414"/>
      <c r="G41" s="414"/>
      <c r="H41" s="519"/>
      <c r="I41" s="477"/>
      <c r="J41" s="508"/>
      <c r="K41" s="508"/>
    </row>
    <row r="42" spans="1:11">
      <c r="A42" s="474"/>
      <c r="B42" s="520" t="s">
        <v>455</v>
      </c>
      <c r="C42" s="416">
        <f>IF(AND(C21=2,C18=0),(C4+C5+C6+C7+C8+C9)*2,0)</f>
        <v>0</v>
      </c>
      <c r="D42" s="422"/>
      <c r="E42" s="413">
        <f t="shared" si="1"/>
        <v>0</v>
      </c>
      <c r="F42" s="414"/>
      <c r="G42" s="414"/>
      <c r="H42" s="519"/>
      <c r="I42" s="783"/>
      <c r="J42" s="508"/>
      <c r="K42" s="508"/>
    </row>
    <row r="43" spans="1:11">
      <c r="A43" s="474"/>
      <c r="B43" s="520" t="s">
        <v>455</v>
      </c>
      <c r="C43" s="416">
        <f>IF(AND(C21=2,C19=1,C18=1),(C5+C6+C7+C8+C9+C4),0)</f>
        <v>0</v>
      </c>
      <c r="D43" s="422"/>
      <c r="E43" s="413">
        <f>C43*D43</f>
        <v>0</v>
      </c>
      <c r="F43" s="414"/>
      <c r="G43" s="414"/>
      <c r="H43" s="519"/>
      <c r="I43" s="477"/>
      <c r="J43" s="508"/>
      <c r="K43" s="508"/>
    </row>
    <row r="44" spans="1:11">
      <c r="A44" s="474"/>
      <c r="B44" s="520" t="s">
        <v>614</v>
      </c>
      <c r="C44" s="416">
        <f>IF(AND(C21=1,C18=0),(C4+C5+C6)*2,0)</f>
        <v>0</v>
      </c>
      <c r="D44" s="422"/>
      <c r="E44" s="413">
        <f t="shared" si="1"/>
        <v>0</v>
      </c>
      <c r="F44" s="414"/>
      <c r="G44" s="414"/>
      <c r="H44" s="519"/>
      <c r="I44" s="477"/>
      <c r="J44" s="508"/>
      <c r="K44" s="508"/>
    </row>
    <row r="45" spans="1:11">
      <c r="A45" s="474"/>
      <c r="B45" s="520" t="s">
        <v>614</v>
      </c>
      <c r="C45" s="416">
        <f>IF(AND(C21=1,C18=1),C5+C6+C4,0)</f>
        <v>0</v>
      </c>
      <c r="D45" s="422"/>
      <c r="E45" s="413">
        <f t="shared" si="1"/>
        <v>0</v>
      </c>
      <c r="F45" s="414"/>
      <c r="G45" s="414"/>
      <c r="H45" s="508"/>
      <c r="I45" s="508"/>
      <c r="J45" s="508"/>
      <c r="K45" s="508"/>
    </row>
    <row r="46" spans="1:11">
      <c r="A46" s="474"/>
      <c r="B46" s="520" t="s">
        <v>615</v>
      </c>
      <c r="C46" s="416">
        <f>IF(AND(C21=1,C18=1),C6+C4+C5,0)</f>
        <v>0</v>
      </c>
      <c r="D46" s="422"/>
      <c r="E46" s="413">
        <f t="shared" si="1"/>
        <v>0</v>
      </c>
      <c r="F46" s="414"/>
      <c r="G46" s="414"/>
      <c r="H46" s="508"/>
      <c r="I46" s="508"/>
      <c r="J46" s="508"/>
      <c r="K46" s="508"/>
    </row>
    <row r="47" spans="1:11">
      <c r="A47" s="474"/>
      <c r="B47" s="518" t="s">
        <v>616</v>
      </c>
      <c r="C47" s="419">
        <f>IF(AND(C21=1,C18=0),(C7+C8+C9)*2,0)</f>
        <v>0</v>
      </c>
      <c r="D47" s="467"/>
      <c r="E47" s="413">
        <f t="shared" si="1"/>
        <v>0</v>
      </c>
      <c r="F47" s="414"/>
      <c r="G47" s="414"/>
      <c r="H47" s="508"/>
      <c r="I47" s="508"/>
      <c r="J47" s="508"/>
      <c r="K47" s="508"/>
    </row>
    <row r="48" spans="1:11">
      <c r="A48" s="474"/>
      <c r="B48" s="518" t="s">
        <v>617</v>
      </c>
      <c r="C48" s="419">
        <f>IF(AND(C21=1,C21=2),C8+C9+C7,0)</f>
        <v>0</v>
      </c>
      <c r="D48" s="467"/>
      <c r="E48" s="413">
        <f t="shared" si="1"/>
        <v>0</v>
      </c>
      <c r="F48" s="414"/>
      <c r="G48" s="414"/>
      <c r="H48" s="508"/>
      <c r="I48" s="508"/>
      <c r="J48" s="508"/>
      <c r="K48" s="508"/>
    </row>
    <row r="49" spans="1:11">
      <c r="A49" s="474"/>
      <c r="B49" s="518" t="s">
        <v>618</v>
      </c>
      <c r="C49" s="419">
        <f>IF(AND(C21=1,C18=1),C9+C7+C8,0)</f>
        <v>0</v>
      </c>
      <c r="D49" s="467"/>
      <c r="E49" s="413">
        <f t="shared" si="1"/>
        <v>0</v>
      </c>
      <c r="F49" s="414"/>
      <c r="G49" s="414"/>
      <c r="H49" s="508"/>
      <c r="I49" s="508"/>
      <c r="J49" s="508"/>
      <c r="K49" s="508"/>
    </row>
    <row r="50" spans="1:11">
      <c r="A50" s="474"/>
      <c r="B50" s="518" t="s">
        <v>618</v>
      </c>
      <c r="C50" s="419">
        <f>IF(AND(C21=2,C18=1),C4+C5+C6,0)</f>
        <v>0</v>
      </c>
      <c r="D50" s="467"/>
      <c r="E50" s="413">
        <f t="shared" si="1"/>
        <v>0</v>
      </c>
      <c r="F50" s="414"/>
      <c r="G50" s="414"/>
      <c r="H50" s="508"/>
      <c r="I50" s="508"/>
      <c r="J50" s="508"/>
      <c r="K50" s="508"/>
    </row>
    <row r="51" spans="1:11">
      <c r="A51" s="474"/>
      <c r="B51" s="518" t="s">
        <v>616</v>
      </c>
      <c r="C51" s="419">
        <f>IF(AND(C21=2,C18=1),C4+C5+C6,0)</f>
        <v>0</v>
      </c>
      <c r="D51" s="467"/>
      <c r="E51" s="413">
        <f t="shared" si="1"/>
        <v>0</v>
      </c>
      <c r="F51" s="414"/>
      <c r="G51" s="414"/>
      <c r="H51" s="508"/>
      <c r="I51" s="508"/>
      <c r="J51" s="508"/>
      <c r="K51" s="508"/>
    </row>
    <row r="52" spans="1:11">
      <c r="A52" s="474"/>
      <c r="B52" s="518" t="s">
        <v>616</v>
      </c>
      <c r="C52" s="419">
        <f>IF(AND(C21=2,C18=0),(C4+C5+C6)*2,0)</f>
        <v>0</v>
      </c>
      <c r="D52" s="467"/>
      <c r="E52" s="413">
        <f t="shared" si="1"/>
        <v>0</v>
      </c>
      <c r="F52" s="414"/>
      <c r="G52" s="414"/>
      <c r="H52" s="508"/>
      <c r="I52" s="508"/>
      <c r="J52" s="508"/>
      <c r="K52" s="508"/>
    </row>
    <row r="53" spans="1:11">
      <c r="A53" s="474"/>
      <c r="B53" s="520" t="s">
        <v>619</v>
      </c>
      <c r="C53" s="419">
        <f>IF(AND(C21=2,C18=1),(C7+C8+C9),0)</f>
        <v>0</v>
      </c>
      <c r="D53" s="467"/>
      <c r="E53" s="413">
        <f t="shared" si="1"/>
        <v>0</v>
      </c>
      <c r="F53" s="414"/>
      <c r="G53" s="414"/>
      <c r="H53" s="508"/>
      <c r="I53" s="508"/>
      <c r="J53" s="508"/>
      <c r="K53" s="508"/>
    </row>
    <row r="54" spans="1:11">
      <c r="A54" s="474"/>
      <c r="B54" s="520" t="s">
        <v>620</v>
      </c>
      <c r="C54" s="419">
        <f>IF(AND(C21=2,C18=1),(C7+C8+C9),0)</f>
        <v>0</v>
      </c>
      <c r="D54" s="467"/>
      <c r="E54" s="413">
        <f t="shared" si="1"/>
        <v>0</v>
      </c>
      <c r="F54" s="414"/>
      <c r="G54" s="414"/>
      <c r="H54" s="508"/>
      <c r="I54" s="508"/>
      <c r="J54" s="508"/>
      <c r="K54" s="508"/>
    </row>
    <row r="55" spans="1:11">
      <c r="A55" s="474"/>
      <c r="B55" s="520" t="s">
        <v>621</v>
      </c>
      <c r="C55" s="416">
        <f>IF(AND(C21=2,C18=0),(C7+C8+C9)*2,0)</f>
        <v>0</v>
      </c>
      <c r="D55" s="422"/>
      <c r="E55" s="413">
        <f t="shared" si="1"/>
        <v>0</v>
      </c>
      <c r="F55" s="414"/>
      <c r="G55" s="414"/>
      <c r="H55" s="508"/>
      <c r="I55" s="508"/>
      <c r="J55" s="508"/>
      <c r="K55" s="508"/>
    </row>
    <row r="56" spans="1:11">
      <c r="A56" s="474"/>
      <c r="B56" s="520" t="s">
        <v>622</v>
      </c>
      <c r="C56" s="416">
        <f>IF(AND(C21=3,C18=0),(C4+C5+C6)*2,0)</f>
        <v>0</v>
      </c>
      <c r="D56" s="422"/>
      <c r="E56" s="413">
        <f t="shared" si="1"/>
        <v>0</v>
      </c>
      <c r="F56" s="414"/>
      <c r="G56" s="414"/>
      <c r="H56" s="508"/>
      <c r="I56" s="508"/>
      <c r="J56" s="508"/>
      <c r="K56" s="508"/>
    </row>
    <row r="57" spans="1:11">
      <c r="A57" s="474"/>
      <c r="B57" s="518" t="s">
        <v>481</v>
      </c>
      <c r="C57" s="411">
        <f>(C5+C8+C25)*C2</f>
        <v>0</v>
      </c>
      <c r="D57" s="465"/>
      <c r="E57" s="413">
        <f t="shared" si="1"/>
        <v>0</v>
      </c>
      <c r="F57" s="414"/>
      <c r="G57" s="414"/>
      <c r="H57" s="508"/>
      <c r="I57" s="508"/>
      <c r="J57" s="508"/>
      <c r="K57" s="508"/>
    </row>
    <row r="58" spans="1:11">
      <c r="A58" s="474"/>
      <c r="B58" s="520" t="s">
        <v>370</v>
      </c>
      <c r="C58" s="416">
        <f>C23*2*C2</f>
        <v>0</v>
      </c>
      <c r="D58" s="422"/>
      <c r="E58" s="413">
        <f t="shared" si="1"/>
        <v>0</v>
      </c>
      <c r="F58" s="414"/>
      <c r="G58" s="414"/>
      <c r="H58" s="508"/>
      <c r="I58" s="508"/>
      <c r="J58" s="508"/>
      <c r="K58" s="508"/>
    </row>
    <row r="59" spans="1:11">
      <c r="A59" s="474"/>
      <c r="B59" s="520" t="s">
        <v>118</v>
      </c>
      <c r="C59" s="416">
        <f>C2*(C22+C24)</f>
        <v>0</v>
      </c>
      <c r="D59" s="422"/>
      <c r="E59" s="413">
        <f t="shared" si="1"/>
        <v>0</v>
      </c>
      <c r="F59" s="414"/>
      <c r="G59" s="414"/>
      <c r="H59" s="508"/>
      <c r="I59" s="508"/>
      <c r="J59" s="508"/>
      <c r="K59" s="508"/>
    </row>
    <row r="60" spans="1:11">
      <c r="A60" s="474"/>
      <c r="B60" s="520" t="s">
        <v>487</v>
      </c>
      <c r="C60" s="416">
        <f>(C4+C6+C7+C9)*C2</f>
        <v>0</v>
      </c>
      <c r="D60" s="422"/>
      <c r="E60" s="413">
        <f t="shared" si="1"/>
        <v>0</v>
      </c>
      <c r="F60" s="414"/>
      <c r="G60" s="414"/>
      <c r="H60" s="508"/>
      <c r="I60" s="508"/>
      <c r="J60" s="508"/>
      <c r="K60" s="508"/>
    </row>
    <row r="61" spans="1:11">
      <c r="A61" s="474"/>
      <c r="B61" s="520" t="s">
        <v>623</v>
      </c>
      <c r="C61" s="416">
        <f>C24*C2*(C4+C5+C6+C7+C8+C9)</f>
        <v>0</v>
      </c>
      <c r="D61" s="422"/>
      <c r="E61" s="413">
        <f t="shared" si="1"/>
        <v>0</v>
      </c>
      <c r="F61" s="414"/>
      <c r="G61" s="414"/>
      <c r="H61" s="508"/>
      <c r="I61" s="508"/>
      <c r="J61" s="508"/>
      <c r="K61" s="508"/>
    </row>
    <row r="62" spans="1:11">
      <c r="A62" s="474"/>
      <c r="B62" s="520" t="s">
        <v>474</v>
      </c>
      <c r="C62" s="416">
        <f>C25*C2*(C4+C5+C6+C7+C8+C9)</f>
        <v>0</v>
      </c>
      <c r="D62" s="422"/>
      <c r="E62" s="413">
        <f t="shared" si="1"/>
        <v>0</v>
      </c>
      <c r="F62" s="414"/>
      <c r="G62" s="414"/>
      <c r="H62" s="508"/>
      <c r="I62" s="508"/>
      <c r="J62" s="508"/>
      <c r="K62" s="508"/>
    </row>
    <row r="63" spans="1:11">
      <c r="A63" s="474"/>
      <c r="B63" s="520" t="s">
        <v>371</v>
      </c>
      <c r="C63" s="416">
        <f>C22*C2*(C4+C5+C6+C7+C8+C9)</f>
        <v>0</v>
      </c>
      <c r="D63" s="422"/>
      <c r="E63" s="413">
        <f t="shared" si="1"/>
        <v>0</v>
      </c>
      <c r="F63" s="414"/>
      <c r="G63" s="414"/>
      <c r="H63" s="508"/>
      <c r="I63" s="508"/>
      <c r="J63" s="508"/>
      <c r="K63" s="508"/>
    </row>
    <row r="64" spans="1:11">
      <c r="A64" s="474"/>
      <c r="B64" s="520" t="s">
        <v>372</v>
      </c>
      <c r="C64" s="416">
        <f>C23*C2*(C4+C5+C6+C7+C8+C9)</f>
        <v>0</v>
      </c>
      <c r="D64" s="422"/>
      <c r="E64" s="413">
        <f t="shared" si="1"/>
        <v>0</v>
      </c>
      <c r="F64" s="414"/>
      <c r="G64" s="414"/>
      <c r="H64" s="508"/>
      <c r="I64" s="508"/>
      <c r="J64" s="508"/>
      <c r="K64" s="508"/>
    </row>
    <row r="65" spans="1:11">
      <c r="A65" s="474"/>
      <c r="B65" s="518" t="s">
        <v>457</v>
      </c>
      <c r="C65" s="411">
        <f>C2*(C6+C9)</f>
        <v>0</v>
      </c>
      <c r="D65" s="465"/>
      <c r="E65" s="413">
        <f t="shared" si="1"/>
        <v>0</v>
      </c>
      <c r="F65" s="414"/>
      <c r="G65" s="414"/>
      <c r="H65" s="508"/>
      <c r="I65" s="508"/>
      <c r="J65" s="508"/>
      <c r="K65" s="508"/>
    </row>
    <row r="66" spans="1:11">
      <c r="A66" s="474"/>
      <c r="B66" s="518" t="s">
        <v>532</v>
      </c>
      <c r="C66" s="411">
        <f>C2*(C7+C4)</f>
        <v>0</v>
      </c>
      <c r="D66" s="465"/>
      <c r="E66" s="413">
        <f t="shared" si="1"/>
        <v>0</v>
      </c>
      <c r="F66" s="414"/>
      <c r="G66" s="414"/>
      <c r="H66" s="508"/>
      <c r="I66" s="508"/>
      <c r="J66" s="508"/>
      <c r="K66" s="508"/>
    </row>
    <row r="67" spans="1:11">
      <c r="A67" s="474"/>
      <c r="B67" s="518" t="s">
        <v>458</v>
      </c>
      <c r="C67" s="411">
        <f>C2*(C5+C8)</f>
        <v>0</v>
      </c>
      <c r="D67" s="465"/>
      <c r="E67" s="413">
        <f t="shared" si="1"/>
        <v>0</v>
      </c>
      <c r="F67" s="414"/>
      <c r="G67" s="414"/>
      <c r="H67" s="508"/>
      <c r="I67" s="508"/>
      <c r="J67" s="508"/>
      <c r="K67" s="508"/>
    </row>
    <row r="68" spans="1:11">
      <c r="A68" s="474"/>
      <c r="B68" s="518" t="s">
        <v>624</v>
      </c>
      <c r="C68" s="411">
        <f>(C7+C8+C9)*C2</f>
        <v>0</v>
      </c>
      <c r="D68" s="465"/>
      <c r="E68" s="413">
        <f t="shared" si="1"/>
        <v>0</v>
      </c>
      <c r="F68" s="414"/>
      <c r="G68" s="414"/>
      <c r="H68" s="508"/>
      <c r="I68" s="508"/>
      <c r="J68" s="508"/>
      <c r="K68" s="508"/>
    </row>
    <row r="69" spans="1:11">
      <c r="A69" s="474"/>
      <c r="B69" s="520" t="s">
        <v>625</v>
      </c>
      <c r="C69" s="416">
        <f>IF(C21=2,C18,0)</f>
        <v>0</v>
      </c>
      <c r="D69" s="422"/>
      <c r="E69" s="413">
        <f t="shared" si="1"/>
        <v>0</v>
      </c>
      <c r="F69" s="414"/>
      <c r="G69" s="414"/>
      <c r="H69" s="508"/>
      <c r="I69" s="508"/>
      <c r="J69" s="508"/>
      <c r="K69" s="508"/>
    </row>
    <row r="70" spans="1:11">
      <c r="A70" s="474"/>
      <c r="B70" s="520" t="s">
        <v>478</v>
      </c>
      <c r="C70" s="416">
        <f>C6+C9</f>
        <v>0</v>
      </c>
      <c r="D70" s="422"/>
      <c r="E70" s="413">
        <f t="shared" si="1"/>
        <v>0</v>
      </c>
      <c r="F70" s="414"/>
      <c r="G70" s="414"/>
      <c r="H70" s="508"/>
      <c r="I70" s="508"/>
      <c r="J70" s="508"/>
      <c r="K70" s="508"/>
    </row>
    <row r="71" spans="1:11">
      <c r="A71" s="474"/>
      <c r="B71" s="520" t="s">
        <v>374</v>
      </c>
      <c r="C71" s="416">
        <f>C5+C8</f>
        <v>0</v>
      </c>
      <c r="D71" s="422"/>
      <c r="E71" s="413">
        <f t="shared" si="1"/>
        <v>0</v>
      </c>
      <c r="F71" s="414"/>
      <c r="G71" s="414"/>
      <c r="H71" s="508"/>
      <c r="I71" s="508"/>
      <c r="J71" s="508"/>
      <c r="K71" s="508"/>
    </row>
    <row r="72" spans="1:11">
      <c r="A72" s="474"/>
      <c r="B72" s="520" t="s">
        <v>375</v>
      </c>
      <c r="C72" s="416">
        <f>(C7+C8+C9)*4</f>
        <v>0</v>
      </c>
      <c r="D72" s="422"/>
      <c r="E72" s="413">
        <f t="shared" si="1"/>
        <v>0</v>
      </c>
      <c r="F72" s="414"/>
      <c r="G72" s="414"/>
      <c r="H72" s="508"/>
      <c r="I72" s="508"/>
      <c r="J72" s="508"/>
      <c r="K72" s="508"/>
    </row>
    <row r="73" spans="1:11">
      <c r="A73" s="474"/>
      <c r="B73" s="520" t="s">
        <v>376</v>
      </c>
      <c r="C73" s="416">
        <f>C17*((C3*2)+C2+0.3)</f>
        <v>0</v>
      </c>
      <c r="D73" s="422"/>
      <c r="E73" s="413">
        <f t="shared" si="1"/>
        <v>0</v>
      </c>
      <c r="F73" s="414"/>
      <c r="G73" s="414"/>
      <c r="H73" s="508"/>
      <c r="I73" s="508"/>
      <c r="J73" s="508"/>
      <c r="K73" s="508"/>
    </row>
    <row r="74" spans="1:11">
      <c r="A74" s="474"/>
      <c r="B74" s="520" t="s">
        <v>533</v>
      </c>
      <c r="C74" s="416">
        <f>IF(C19=0,C17*2,0)</f>
        <v>0</v>
      </c>
      <c r="D74" s="422"/>
      <c r="E74" s="413">
        <f t="shared" si="1"/>
        <v>0</v>
      </c>
      <c r="F74" s="414"/>
      <c r="G74" s="414"/>
      <c r="H74" s="508"/>
      <c r="I74" s="508"/>
      <c r="J74" s="508"/>
      <c r="K74" s="508"/>
    </row>
    <row r="75" spans="1:11">
      <c r="A75" s="474"/>
      <c r="B75" s="520" t="s">
        <v>534</v>
      </c>
      <c r="C75" s="416">
        <f>IF(C19=1,C17*2,0)</f>
        <v>0</v>
      </c>
      <c r="D75" s="422"/>
      <c r="E75" s="413">
        <f t="shared" si="1"/>
        <v>0</v>
      </c>
      <c r="F75" s="414"/>
      <c r="G75" s="414"/>
      <c r="H75" s="508"/>
      <c r="I75" s="508"/>
      <c r="J75" s="508"/>
      <c r="K75" s="508"/>
    </row>
    <row r="76" spans="1:11">
      <c r="A76" s="474"/>
      <c r="B76" s="520" t="s">
        <v>378</v>
      </c>
      <c r="C76" s="416">
        <f>C17*2</f>
        <v>0</v>
      </c>
      <c r="D76" s="422"/>
      <c r="E76" s="413">
        <f t="shared" si="1"/>
        <v>0</v>
      </c>
      <c r="F76" s="414"/>
      <c r="G76" s="414"/>
      <c r="H76" s="508"/>
      <c r="I76" s="508"/>
      <c r="J76" s="508"/>
      <c r="K76" s="508"/>
    </row>
    <row r="77" spans="1:11">
      <c r="A77" s="474"/>
      <c r="B77" s="520" t="s">
        <v>459</v>
      </c>
      <c r="C77" s="416">
        <f>C17*2</f>
        <v>0</v>
      </c>
      <c r="D77" s="422"/>
      <c r="E77" s="413">
        <f t="shared" si="1"/>
        <v>0</v>
      </c>
      <c r="F77" s="414"/>
      <c r="G77" s="414"/>
      <c r="H77" s="508"/>
      <c r="I77" s="508"/>
      <c r="J77" s="508"/>
      <c r="K77" s="508"/>
    </row>
    <row r="78" spans="1:11">
      <c r="A78" s="474"/>
      <c r="B78" s="520" t="s">
        <v>460</v>
      </c>
      <c r="C78" s="416">
        <f>C17*2</f>
        <v>0</v>
      </c>
      <c r="D78" s="422"/>
      <c r="E78" s="413">
        <f t="shared" si="1"/>
        <v>0</v>
      </c>
      <c r="F78" s="414"/>
      <c r="G78" s="414"/>
      <c r="H78" s="508"/>
      <c r="I78" s="508"/>
      <c r="J78" s="508"/>
      <c r="K78" s="508"/>
    </row>
    <row r="79" spans="1:11">
      <c r="A79" s="474"/>
      <c r="B79" s="520" t="s">
        <v>836</v>
      </c>
      <c r="C79" s="416">
        <f>IF(C18=0,C4+C5+C6+C7+C8+C9,0)</f>
        <v>1</v>
      </c>
      <c r="D79" s="422"/>
      <c r="E79" s="413">
        <f t="shared" si="1"/>
        <v>0</v>
      </c>
      <c r="F79" s="414"/>
      <c r="G79" s="414"/>
      <c r="H79" s="508"/>
      <c r="I79" s="508"/>
      <c r="J79" s="508"/>
      <c r="K79" s="508"/>
    </row>
    <row r="80" spans="1:11">
      <c r="A80" s="474"/>
      <c r="B80" s="520" t="s">
        <v>343</v>
      </c>
      <c r="C80" s="416">
        <f>C17</f>
        <v>0</v>
      </c>
      <c r="D80" s="422"/>
      <c r="E80" s="413">
        <f t="shared" si="1"/>
        <v>0</v>
      </c>
      <c r="F80" s="414"/>
      <c r="G80" s="414"/>
      <c r="H80" s="508"/>
      <c r="I80" s="508"/>
      <c r="J80" s="508"/>
      <c r="K80" s="508"/>
    </row>
    <row r="81" spans="1:11">
      <c r="A81" s="474"/>
      <c r="B81" s="521" t="s">
        <v>461</v>
      </c>
      <c r="C81" s="468">
        <f>C4+C5+C7+C8</f>
        <v>1</v>
      </c>
      <c r="D81" s="422"/>
      <c r="E81" s="469">
        <f t="shared" si="1"/>
        <v>0</v>
      </c>
      <c r="F81" s="414"/>
      <c r="G81" s="414"/>
      <c r="H81" s="522"/>
      <c r="I81" s="522"/>
      <c r="J81" s="508"/>
      <c r="K81" s="508"/>
    </row>
    <row r="82" spans="1:11">
      <c r="A82" s="474"/>
      <c r="B82" s="521" t="s">
        <v>382</v>
      </c>
      <c r="C82" s="468">
        <f>(C10+C11)*(C4+C5+C7+C8)</f>
        <v>0</v>
      </c>
      <c r="D82" s="422"/>
      <c r="E82" s="469">
        <f t="shared" si="1"/>
        <v>0</v>
      </c>
      <c r="F82" s="414"/>
      <c r="G82" s="414"/>
      <c r="H82" s="508"/>
      <c r="I82" s="508"/>
      <c r="J82" s="508"/>
      <c r="K82" s="508"/>
    </row>
    <row r="83" spans="1:11">
      <c r="A83" s="474"/>
      <c r="B83" s="521" t="s">
        <v>502</v>
      </c>
      <c r="C83" s="468">
        <f>C11*(C5+C8)</f>
        <v>0</v>
      </c>
      <c r="D83" s="422"/>
      <c r="E83" s="469">
        <f t="shared" si="1"/>
        <v>0</v>
      </c>
      <c r="F83" s="414"/>
      <c r="G83" s="414"/>
      <c r="H83" s="508"/>
      <c r="I83" s="508"/>
      <c r="J83" s="508"/>
      <c r="K83" s="508"/>
    </row>
    <row r="84" spans="1:11">
      <c r="A84" s="474"/>
      <c r="B84" s="521" t="s">
        <v>384</v>
      </c>
      <c r="C84" s="468">
        <f>C12*(C6+C9)</f>
        <v>0</v>
      </c>
      <c r="D84" s="422"/>
      <c r="E84" s="469">
        <f t="shared" si="1"/>
        <v>0</v>
      </c>
      <c r="F84" s="414"/>
      <c r="G84" s="414"/>
      <c r="H84" s="508"/>
      <c r="I84" s="508"/>
      <c r="J84" s="508"/>
      <c r="K84" s="508"/>
    </row>
    <row r="85" spans="1:11">
      <c r="A85" s="474"/>
      <c r="B85" s="521" t="s">
        <v>385</v>
      </c>
      <c r="C85" s="468">
        <f>C12*(C6+C9)</f>
        <v>0</v>
      </c>
      <c r="D85" s="422"/>
      <c r="E85" s="469">
        <f t="shared" si="1"/>
        <v>0</v>
      </c>
      <c r="F85" s="414"/>
      <c r="G85" s="414"/>
      <c r="H85" s="508"/>
      <c r="I85" s="508"/>
      <c r="J85" s="508"/>
      <c r="K85" s="508"/>
    </row>
    <row r="86" spans="1:11" hidden="1">
      <c r="A86" s="474"/>
      <c r="B86" s="521" t="s">
        <v>535</v>
      </c>
      <c r="C86" s="468">
        <f>C4+C7</f>
        <v>1</v>
      </c>
      <c r="D86" s="422"/>
      <c r="E86" s="469">
        <f t="shared" si="1"/>
        <v>0</v>
      </c>
      <c r="F86" s="414"/>
      <c r="G86" s="414"/>
      <c r="H86" s="508"/>
      <c r="I86" s="508"/>
      <c r="J86" s="508"/>
      <c r="K86" s="508"/>
    </row>
    <row r="87" spans="1:11">
      <c r="A87" s="474"/>
      <c r="B87" s="521" t="s">
        <v>387</v>
      </c>
      <c r="C87" s="468">
        <f>C14*(C8+C5)</f>
        <v>0</v>
      </c>
      <c r="D87" s="422"/>
      <c r="E87" s="469">
        <f t="shared" si="1"/>
        <v>0</v>
      </c>
      <c r="F87" s="414"/>
      <c r="G87" s="414"/>
      <c r="H87" s="508"/>
      <c r="I87" s="508"/>
      <c r="J87" s="508"/>
      <c r="K87" s="508"/>
    </row>
    <row r="88" spans="1:11" ht="11.25" customHeight="1">
      <c r="A88" s="474"/>
      <c r="B88" s="521" t="s">
        <v>536</v>
      </c>
      <c r="C88" s="468">
        <f>(C14+C13)*(C4+C5+C7+C8)</f>
        <v>1</v>
      </c>
      <c r="D88" s="422"/>
      <c r="E88" s="469">
        <f t="shared" si="1"/>
        <v>0</v>
      </c>
      <c r="F88" s="414"/>
      <c r="G88" s="414"/>
      <c r="H88" s="508"/>
      <c r="I88" s="508"/>
      <c r="J88" s="508"/>
      <c r="K88" s="508"/>
    </row>
    <row r="89" spans="1:11" ht="11.25" customHeight="1">
      <c r="A89" s="474"/>
      <c r="B89" s="521" t="s">
        <v>393</v>
      </c>
      <c r="C89" s="468">
        <f>C15*(C6+C9)</f>
        <v>0</v>
      </c>
      <c r="D89" s="470"/>
      <c r="E89" s="469">
        <f t="shared" si="1"/>
        <v>0</v>
      </c>
      <c r="F89" s="414"/>
      <c r="G89" s="414"/>
      <c r="H89" s="508"/>
      <c r="I89" s="508"/>
      <c r="J89" s="508"/>
      <c r="K89" s="508"/>
    </row>
    <row r="90" spans="1:11" ht="11.25" customHeight="1">
      <c r="A90" s="474"/>
      <c r="B90" s="180" t="s">
        <v>145</v>
      </c>
      <c r="C90" s="468">
        <f>C27</f>
        <v>0</v>
      </c>
      <c r="D90" s="791"/>
      <c r="E90" s="469">
        <f t="shared" si="1"/>
        <v>0</v>
      </c>
      <c r="F90" s="414"/>
      <c r="G90" s="414"/>
      <c r="H90" s="508"/>
      <c r="I90" s="508"/>
      <c r="J90" s="508"/>
      <c r="K90" s="508"/>
    </row>
    <row r="91" spans="1:11" ht="11.25" customHeight="1">
      <c r="A91" s="474"/>
      <c r="B91" s="180" t="s">
        <v>148</v>
      </c>
      <c r="C91" s="468">
        <f>C26</f>
        <v>0</v>
      </c>
      <c r="D91" s="791"/>
      <c r="E91" s="469">
        <f t="shared" si="1"/>
        <v>0</v>
      </c>
      <c r="F91" s="414"/>
      <c r="G91" s="414"/>
      <c r="H91" s="508"/>
      <c r="I91" s="508"/>
      <c r="J91" s="508"/>
      <c r="K91" s="508"/>
    </row>
    <row r="92" spans="1:11" ht="11.25" customHeight="1">
      <c r="A92" s="474"/>
      <c r="B92" s="27" t="s">
        <v>696</v>
      </c>
      <c r="C92" s="468">
        <f>C28</f>
        <v>0</v>
      </c>
      <c r="D92" s="791"/>
      <c r="E92" s="469">
        <f t="shared" si="1"/>
        <v>0</v>
      </c>
      <c r="F92" s="414"/>
      <c r="G92" s="414"/>
      <c r="H92" s="508"/>
      <c r="I92" s="508"/>
      <c r="J92" s="508"/>
      <c r="K92" s="508"/>
    </row>
    <row r="93" spans="1:11" ht="11.25" customHeight="1" thickBot="1">
      <c r="A93" s="474"/>
      <c r="B93" s="792" t="s">
        <v>394</v>
      </c>
      <c r="C93" s="471">
        <f>C15*(C6+C9)</f>
        <v>0</v>
      </c>
      <c r="D93" s="472"/>
      <c r="E93" s="473">
        <f t="shared" si="1"/>
        <v>0</v>
      </c>
      <c r="F93" s="414"/>
      <c r="G93" s="526"/>
      <c r="H93" s="508"/>
      <c r="I93" s="508"/>
      <c r="J93" s="508"/>
      <c r="K93" s="508"/>
    </row>
    <row r="94" spans="1:11" ht="11.25" customHeight="1" thickBot="1">
      <c r="A94" s="474"/>
      <c r="B94" s="508"/>
      <c r="C94" s="508"/>
      <c r="D94" s="524" t="s">
        <v>9</v>
      </c>
      <c r="E94" s="525">
        <f>SUMIF(E31:E93,"&gt;0",E31:E93)</f>
        <v>0</v>
      </c>
      <c r="F94" s="526"/>
      <c r="G94" s="508"/>
      <c r="H94" s="508"/>
      <c r="I94" s="508"/>
      <c r="J94" s="508"/>
      <c r="K94" s="508"/>
    </row>
    <row r="95" spans="1:11" ht="11.25" customHeight="1">
      <c r="A95" s="474"/>
      <c r="B95" s="508"/>
      <c r="C95" s="508"/>
      <c r="D95" s="508"/>
      <c r="E95" s="508"/>
      <c r="F95" s="508"/>
      <c r="G95" s="508"/>
      <c r="H95" s="508"/>
      <c r="I95" s="508"/>
      <c r="J95" s="508"/>
      <c r="K95" s="510"/>
    </row>
    <row r="96" spans="1:11" ht="11.25" customHeight="1">
      <c r="A96" s="474"/>
      <c r="B96" s="508"/>
      <c r="C96" s="508"/>
      <c r="D96" s="508"/>
      <c r="E96" s="508"/>
      <c r="F96" s="508"/>
      <c r="G96" s="508"/>
      <c r="H96" s="508"/>
      <c r="I96" s="508"/>
      <c r="J96" s="508"/>
      <c r="K96" s="508"/>
    </row>
    <row r="97" spans="1:11" ht="11.25" customHeight="1">
      <c r="A97" s="474"/>
      <c r="B97" s="508"/>
      <c r="C97" s="508"/>
      <c r="D97" s="508"/>
      <c r="E97" s="508"/>
      <c r="F97" s="508"/>
      <c r="G97" s="474"/>
      <c r="H97" s="474"/>
      <c r="I97" s="474"/>
      <c r="J97" s="474"/>
      <c r="K97" s="474"/>
    </row>
    <row r="98" spans="1:11" ht="11.25" customHeight="1">
      <c r="A98" s="474"/>
      <c r="B98" s="474"/>
      <c r="C98" s="474"/>
      <c r="D98" s="474"/>
      <c r="E98" s="474"/>
      <c r="F98" s="474"/>
      <c r="G98" s="474"/>
      <c r="H98" s="474"/>
      <c r="I98" s="474"/>
      <c r="J98" s="474"/>
      <c r="K98" s="474"/>
    </row>
    <row r="99" spans="1:11" ht="11.25" customHeight="1">
      <c r="A99" s="474"/>
      <c r="B99" s="474"/>
      <c r="C99" s="474"/>
      <c r="D99" s="474"/>
      <c r="E99" s="474"/>
      <c r="F99" s="474"/>
      <c r="G99" s="474"/>
      <c r="H99" s="474"/>
      <c r="I99" s="474"/>
      <c r="J99" s="474"/>
      <c r="K99" s="474"/>
    </row>
    <row r="100" spans="1:11" ht="11.25" customHeight="1">
      <c r="A100" s="474"/>
      <c r="B100" s="474"/>
      <c r="C100" s="474"/>
      <c r="D100" s="474"/>
      <c r="E100" s="474"/>
      <c r="F100" s="474"/>
      <c r="G100" s="474"/>
      <c r="H100" s="474"/>
      <c r="I100" s="474"/>
      <c r="J100" s="474"/>
      <c r="K100" s="474"/>
    </row>
    <row r="101" spans="1:11" ht="11.25" customHeight="1">
      <c r="A101" s="474"/>
      <c r="B101" s="474"/>
      <c r="C101" s="474"/>
      <c r="D101" s="474"/>
      <c r="E101" s="474"/>
      <c r="F101" s="474"/>
      <c r="G101" s="474"/>
      <c r="H101" s="474"/>
      <c r="I101" s="474"/>
      <c r="J101" s="474"/>
      <c r="K101" s="474"/>
    </row>
    <row r="102" spans="1:11" ht="11.25" customHeight="1">
      <c r="A102" s="474"/>
      <c r="B102" s="474"/>
      <c r="C102" s="474"/>
      <c r="D102" s="474"/>
      <c r="E102" s="474"/>
      <c r="F102" s="474"/>
      <c r="G102" s="474"/>
      <c r="H102" s="474"/>
      <c r="I102" s="474"/>
      <c r="J102" s="474"/>
      <c r="K102" s="474"/>
    </row>
    <row r="103" spans="1:11" ht="11.25" customHeight="1">
      <c r="A103" s="474"/>
      <c r="B103" s="474"/>
      <c r="C103" s="474"/>
      <c r="D103" s="474"/>
      <c r="E103" s="474"/>
      <c r="F103" s="474"/>
      <c r="G103" s="474"/>
      <c r="H103" s="474"/>
      <c r="I103" s="474"/>
      <c r="J103" s="474"/>
      <c r="K103" s="474"/>
    </row>
    <row r="104" spans="1:11" ht="11.25" customHeight="1">
      <c r="A104" s="474"/>
      <c r="B104" s="474"/>
      <c r="C104" s="474"/>
      <c r="D104" s="474"/>
      <c r="E104" s="474"/>
      <c r="F104" s="474"/>
      <c r="G104" s="474"/>
      <c r="H104" s="474"/>
      <c r="I104" s="474"/>
      <c r="J104" s="474"/>
      <c r="K104" s="474"/>
    </row>
    <row r="105" spans="1:11" ht="10.5" customHeight="1">
      <c r="B105" s="474"/>
      <c r="C105" s="474"/>
      <c r="D105" s="474"/>
      <c r="E105" s="474"/>
      <c r="F105" s="474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j7XLwWuB6vTDK12F5JMBxyFREvr4PEXMtrJZPKOvb9PLj2duL2Q6E13UQAaNjNeF3mQbctV4qRf/CEzLcnPQ8A==" saltValue="wbZwHJSatwgBl0h3YzkQUQ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482" priority="17" operator="equal">
      <formula>"ДА"</formula>
    </cfRule>
    <cfRule type="cellIs" dxfId="481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480" priority="10" operator="greaterThan">
      <formula>0</formula>
    </cfRule>
  </conditionalFormatting>
  <conditionalFormatting sqref="E94">
    <cfRule type="cellIs" dxfId="479" priority="8" operator="greaterThan">
      <formula>0</formula>
    </cfRule>
    <cfRule type="cellIs" dxfId="478" priority="9" operator="greaterThan">
      <formula>0</formula>
    </cfRule>
  </conditionalFormatting>
  <conditionalFormatting sqref="J3:K21">
    <cfRule type="cellIs" dxfId="477" priority="7" operator="greaterThan">
      <formula>0</formula>
    </cfRule>
  </conditionalFormatting>
  <conditionalFormatting sqref="C2:C19 C21:C28">
    <cfRule type="cellIs" dxfId="476" priority="6" operator="greaterThan">
      <formula>0</formula>
    </cfRule>
  </conditionalFormatting>
  <conditionalFormatting sqref="K3:K21">
    <cfRule type="cellIs" dxfId="475" priority="5" operator="greaterThan">
      <formula>0</formula>
    </cfRule>
  </conditionalFormatting>
  <conditionalFormatting sqref="C38:E38">
    <cfRule type="cellIs" dxfId="474" priority="4" operator="greaterThan">
      <formula>0</formula>
    </cfRule>
  </conditionalFormatting>
  <conditionalFormatting sqref="C43:E43">
    <cfRule type="cellIs" dxfId="473" priority="3" operator="greaterThan">
      <formula>0</formula>
    </cfRule>
  </conditionalFormatting>
  <conditionalFormatting sqref="C90:C92">
    <cfRule type="cellIs" dxfId="472" priority="2" operator="greaterThan">
      <formula>0</formula>
    </cfRule>
  </conditionalFormatting>
  <conditionalFormatting sqref="C20">
    <cfRule type="cellIs" dxfId="471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F41" sqref="F41:G4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74"/>
      <c r="B1" s="1114"/>
      <c r="C1" s="1115"/>
      <c r="D1" s="1115"/>
      <c r="E1" s="1115"/>
      <c r="F1" s="858"/>
      <c r="G1" s="858"/>
      <c r="H1" s="474"/>
      <c r="I1" s="474"/>
      <c r="J1" s="474"/>
      <c r="K1" s="474"/>
    </row>
    <row r="2" spans="1:12" ht="26.25" customHeight="1" thickBot="1">
      <c r="A2" s="474"/>
      <c r="B2" s="476" t="s">
        <v>10</v>
      </c>
      <c r="C2" s="527">
        <v>0</v>
      </c>
      <c r="D2" s="1116" t="s">
        <v>602</v>
      </c>
      <c r="E2" s="1117"/>
      <c r="F2" s="1118"/>
      <c r="G2" s="857"/>
      <c r="H2" s="478" t="s">
        <v>492</v>
      </c>
      <c r="I2" s="479" t="s">
        <v>611</v>
      </c>
      <c r="J2" s="479" t="s">
        <v>4</v>
      </c>
      <c r="K2" s="480" t="s">
        <v>8</v>
      </c>
      <c r="L2" s="319"/>
    </row>
    <row r="3" spans="1:12" ht="12.75" thickBot="1">
      <c r="A3" s="474"/>
      <c r="B3" s="481" t="s">
        <v>1</v>
      </c>
      <c r="C3" s="528"/>
      <c r="D3" s="1119"/>
      <c r="E3" s="1120"/>
      <c r="F3" s="1121"/>
      <c r="G3" s="857"/>
      <c r="H3" s="640" t="s">
        <v>379</v>
      </c>
      <c r="I3" s="641" t="str">
        <f>IF(AND($C$6+$C$7=1,$C$8+$C$9=0,$C$10=2),"ДА","НЕТ")</f>
        <v>НЕТ</v>
      </c>
      <c r="J3" s="642"/>
      <c r="K3" s="643">
        <f>IF(I3="ДА",($C$4+$C$5+#REF!+#REF!+#REF!+#REF!)*J3,0)</f>
        <v>0</v>
      </c>
      <c r="L3" s="329"/>
    </row>
    <row r="4" spans="1:12" ht="12" customHeight="1">
      <c r="A4" s="474"/>
      <c r="B4" s="484" t="s">
        <v>527</v>
      </c>
      <c r="C4" s="529">
        <v>0</v>
      </c>
      <c r="D4" s="1116" t="s">
        <v>603</v>
      </c>
      <c r="E4" s="1117"/>
      <c r="F4" s="1118"/>
      <c r="G4" s="857"/>
      <c r="H4" s="485" t="s">
        <v>380</v>
      </c>
      <c r="I4" s="483" t="str">
        <f>IF(AND($C$6+$C$7=1,$C$8+$C$9=0,$C$10=2),"ДА","НЕТ")</f>
        <v>НЕТ</v>
      </c>
      <c r="J4" s="464"/>
      <c r="K4" s="388">
        <f>IF(I4="ДА",($C$4+$C$5+#REF!+#REF!+#REF!+#REF!)*J4,0)</f>
        <v>0</v>
      </c>
      <c r="L4" s="329"/>
    </row>
    <row r="5" spans="1:12" ht="12.75" thickBot="1">
      <c r="A5" s="474"/>
      <c r="B5" s="486" t="s">
        <v>398</v>
      </c>
      <c r="C5" s="530">
        <v>0</v>
      </c>
      <c r="D5" s="1119"/>
      <c r="E5" s="1120"/>
      <c r="F5" s="1121"/>
      <c r="G5" s="857"/>
      <c r="H5" s="485" t="s">
        <v>381</v>
      </c>
      <c r="I5" s="483" t="str">
        <f>IF(AND($C$6+$C$7=1,$C$8+$C$9=0,$C$10=2),"ДА","НЕТ")</f>
        <v>НЕТ</v>
      </c>
      <c r="J5" s="464"/>
      <c r="K5" s="388">
        <f>IF(I5="ДА",($C$4+$C$5+#REF!+#REF!+#REF!+#REF!)*J5,0)</f>
        <v>0</v>
      </c>
      <c r="L5" s="329"/>
    </row>
    <row r="6" spans="1:12" ht="12" customHeight="1">
      <c r="A6" s="474"/>
      <c r="B6" s="476" t="s">
        <v>528</v>
      </c>
      <c r="C6" s="533">
        <v>0</v>
      </c>
      <c r="D6" s="489" t="s">
        <v>294</v>
      </c>
      <c r="E6" s="490" t="s">
        <v>256</v>
      </c>
      <c r="F6" s="1124" t="s">
        <v>603</v>
      </c>
      <c r="G6" s="857"/>
      <c r="H6" s="487" t="s">
        <v>383</v>
      </c>
      <c r="I6" s="483" t="str">
        <f>IF(AND($C$6+$C$7=1,$C$8+$C$9=0,$C$10=3),"ДА","НЕТ")</f>
        <v>НЕТ</v>
      </c>
      <c r="J6" s="391"/>
      <c r="K6" s="388">
        <f>IF(I6="ДА",($C$4+$C$5+#REF!+#REF!+#REF!+#REF!)*J6,0)</f>
        <v>0</v>
      </c>
      <c r="L6" s="329"/>
    </row>
    <row r="7" spans="1:12" ht="12">
      <c r="A7" s="474"/>
      <c r="B7" s="488" t="s">
        <v>497</v>
      </c>
      <c r="C7" s="531">
        <v>0</v>
      </c>
      <c r="D7" s="491" t="s">
        <v>294</v>
      </c>
      <c r="E7" s="492" t="s">
        <v>256</v>
      </c>
      <c r="F7" s="1125"/>
      <c r="G7" s="857"/>
      <c r="H7" s="487" t="s">
        <v>680</v>
      </c>
      <c r="I7" s="483" t="str">
        <f>IF(AND($C$8=1,$C$6+$C$7+$C$9=0,$C$10=2),"ДА","НЕТ")</f>
        <v>НЕТ</v>
      </c>
      <c r="J7" s="391"/>
      <c r="K7" s="388">
        <f>IF(I7="ДА",($C$4+$C$5+#REF!+#REF!+#REF!+#REF!)*J7,0)</f>
        <v>0</v>
      </c>
      <c r="L7" s="329"/>
    </row>
    <row r="8" spans="1:12" ht="12">
      <c r="A8" s="474"/>
      <c r="B8" s="488" t="s">
        <v>529</v>
      </c>
      <c r="C8" s="531">
        <v>0</v>
      </c>
      <c r="D8" s="491" t="s">
        <v>294</v>
      </c>
      <c r="E8" s="492" t="s">
        <v>256</v>
      </c>
      <c r="F8" s="1125"/>
      <c r="G8" s="857"/>
      <c r="H8" s="487" t="s">
        <v>525</v>
      </c>
      <c r="I8" s="483" t="str">
        <f>IF(AND($C$8=1,$C$6+$C$7+$C$9=0,$C$10=2),"ДА","НЕТ")</f>
        <v>НЕТ</v>
      </c>
      <c r="J8" s="391"/>
      <c r="K8" s="388">
        <f>IF(I8="ДА",($C$4+$C$5+#REF!+#REF!+#REF!+#REF!)*J8,0)</f>
        <v>0</v>
      </c>
      <c r="L8" s="329"/>
    </row>
    <row r="9" spans="1:12" ht="12.75" thickBot="1">
      <c r="A9" s="474"/>
      <c r="B9" s="509" t="s">
        <v>499</v>
      </c>
      <c r="C9" s="535">
        <v>0</v>
      </c>
      <c r="D9" s="556" t="s">
        <v>294</v>
      </c>
      <c r="E9" s="557" t="s">
        <v>256</v>
      </c>
      <c r="F9" s="1126"/>
      <c r="G9" s="857"/>
      <c r="H9" s="487" t="s">
        <v>526</v>
      </c>
      <c r="I9" s="483" t="str">
        <f>IF(AND($C$8=1,$C$6+$C$7+$C$9=0,$C$10=1),"ДА","НЕТ")</f>
        <v>НЕТ</v>
      </c>
      <c r="J9" s="391"/>
      <c r="K9" s="388">
        <f>IF(I9="ДА",($C$4+$C$5+#REF!+#REF!+#REF!+#REF!)*J9,0)</f>
        <v>0</v>
      </c>
      <c r="L9" s="329"/>
    </row>
    <row r="10" spans="1:12" ht="12" customHeight="1" thickBot="1">
      <c r="A10" s="474"/>
      <c r="B10" s="509" t="s">
        <v>596</v>
      </c>
      <c r="C10" s="535">
        <v>0</v>
      </c>
      <c r="D10" s="499" t="s">
        <v>626</v>
      </c>
      <c r="E10" s="497" t="s">
        <v>627</v>
      </c>
      <c r="F10" s="860" t="s">
        <v>628</v>
      </c>
      <c r="G10" s="857"/>
      <c r="H10" s="485" t="s">
        <v>386</v>
      </c>
      <c r="I10" s="483" t="str">
        <f>IF(AND($C$9=1,$C$6+$C$7+$C$8=0,$C$10=2),"ДА","НЕТ")</f>
        <v>НЕТ</v>
      </c>
      <c r="J10" s="394"/>
      <c r="K10" s="388">
        <f>IF(I10="ДА",($C$4+$C$5+#REF!+#REF!+#REF!+#REF!)*J10,0)</f>
        <v>0</v>
      </c>
      <c r="L10" s="329"/>
    </row>
    <row r="11" spans="1:12" ht="12.75" thickBot="1">
      <c r="A11" s="474"/>
      <c r="B11" s="498" t="s">
        <v>400</v>
      </c>
      <c r="C11" s="534">
        <v>0</v>
      </c>
      <c r="D11" s="501" t="s">
        <v>401</v>
      </c>
      <c r="E11" s="861" t="s">
        <v>402</v>
      </c>
      <c r="F11" s="538"/>
      <c r="G11" s="857"/>
      <c r="H11" s="482" t="s">
        <v>388</v>
      </c>
      <c r="I11" s="483" t="str">
        <f>IF(AND($C$9=1,$C$6+$C$7+$C$8=0,$C$10=1),"ДА","НЕТ")</f>
        <v>НЕТ</v>
      </c>
      <c r="J11" s="394"/>
      <c r="K11" s="388">
        <f>IF(I11="ДА",($C$4+$C$5+#REF!+#REF!+#REF!+#REF!)*J11,0)</f>
        <v>0</v>
      </c>
      <c r="L11" s="329"/>
    </row>
    <row r="12" spans="1:12" ht="12.75" thickBot="1">
      <c r="A12" s="474"/>
      <c r="B12" s="476" t="s">
        <v>368</v>
      </c>
      <c r="C12" s="533">
        <v>0</v>
      </c>
      <c r="D12" s="489" t="s">
        <v>294</v>
      </c>
      <c r="E12" s="490" t="s">
        <v>256</v>
      </c>
      <c r="F12" s="1124" t="s">
        <v>604</v>
      </c>
      <c r="G12" s="495"/>
      <c r="H12" s="900" t="s">
        <v>389</v>
      </c>
      <c r="I12" s="507" t="str">
        <f>IF(AND($C$9=1,$C$6+$C$7+$C$8=0,$C$10=3),"ДА","НЕТ")</f>
        <v>НЕТ</v>
      </c>
      <c r="J12" s="401"/>
      <c r="K12" s="544">
        <f>IF(I12="ДА",($C$4+$C$5+#REF!+#REF!+#REF!+#REF!)*J12,0)</f>
        <v>0</v>
      </c>
      <c r="L12" s="329"/>
    </row>
    <row r="13" spans="1:12">
      <c r="A13" s="474"/>
      <c r="B13" s="486" t="s">
        <v>369</v>
      </c>
      <c r="C13" s="530">
        <v>0</v>
      </c>
      <c r="D13" s="493" t="s">
        <v>294</v>
      </c>
      <c r="E13" s="494" t="s">
        <v>256</v>
      </c>
      <c r="F13" s="1125"/>
      <c r="G13" s="857"/>
      <c r="H13" s="329"/>
      <c r="L13" s="329"/>
    </row>
    <row r="14" spans="1:12">
      <c r="A14" s="474"/>
      <c r="B14" s="486" t="s">
        <v>473</v>
      </c>
      <c r="C14" s="530">
        <v>0</v>
      </c>
      <c r="D14" s="493" t="s">
        <v>294</v>
      </c>
      <c r="E14" s="494" t="s">
        <v>256</v>
      </c>
      <c r="F14" s="1125"/>
      <c r="G14" s="857"/>
      <c r="H14" s="329"/>
      <c r="L14" s="329"/>
    </row>
    <row r="15" spans="1:12" ht="12" thickBot="1">
      <c r="A15" s="474"/>
      <c r="B15" s="583" t="s">
        <v>530</v>
      </c>
      <c r="C15" s="582">
        <v>0</v>
      </c>
      <c r="D15" s="695" t="s">
        <v>294</v>
      </c>
      <c r="E15" s="585" t="s">
        <v>256</v>
      </c>
      <c r="F15" s="1125"/>
      <c r="G15" s="495"/>
      <c r="H15" s="329"/>
      <c r="L15" s="329"/>
    </row>
    <row r="16" spans="1:12">
      <c r="A16" s="474"/>
      <c r="B16" s="476" t="s">
        <v>147</v>
      </c>
      <c r="C16" s="533">
        <v>0</v>
      </c>
      <c r="D16" s="1127" t="s">
        <v>693</v>
      </c>
      <c r="E16" s="1128"/>
      <c r="F16" s="1129"/>
      <c r="G16" s="495"/>
      <c r="H16" s="329"/>
      <c r="L16" s="329"/>
    </row>
    <row r="17" spans="1:12">
      <c r="A17" s="474"/>
      <c r="B17" s="486" t="s">
        <v>146</v>
      </c>
      <c r="C17" s="530">
        <v>0</v>
      </c>
      <c r="D17" s="1130" t="s">
        <v>694</v>
      </c>
      <c r="E17" s="1131"/>
      <c r="F17" s="1132"/>
      <c r="G17" s="857"/>
      <c r="H17" s="508"/>
      <c r="I17" s="508"/>
      <c r="J17" s="508"/>
      <c r="K17" s="508"/>
      <c r="L17" s="329"/>
    </row>
    <row r="18" spans="1:12" ht="12" thickBot="1">
      <c r="A18" s="474"/>
      <c r="B18" s="481" t="s">
        <v>143</v>
      </c>
      <c r="C18" s="532">
        <v>0</v>
      </c>
      <c r="D18" s="1133" t="s">
        <v>695</v>
      </c>
      <c r="E18" s="1134"/>
      <c r="F18" s="1135"/>
      <c r="G18" s="857"/>
      <c r="H18" s="508"/>
      <c r="I18" s="508"/>
      <c r="J18" s="508"/>
      <c r="K18" s="508"/>
    </row>
    <row r="19" spans="1:12" ht="12" thickBot="1">
      <c r="A19" s="474"/>
      <c r="B19" s="1113"/>
      <c r="C19" s="1113"/>
      <c r="D19" s="1113"/>
      <c r="E19" s="1113"/>
      <c r="F19" s="857"/>
      <c r="G19" s="504"/>
      <c r="H19" s="510"/>
      <c r="I19" s="510"/>
      <c r="J19" s="508"/>
      <c r="K19" s="508"/>
    </row>
    <row r="20" spans="1:12" ht="12.75">
      <c r="A20" s="474"/>
      <c r="B20" s="513" t="s">
        <v>5</v>
      </c>
      <c r="C20" s="514" t="s">
        <v>0</v>
      </c>
      <c r="D20" s="515" t="s">
        <v>4</v>
      </c>
      <c r="E20" s="516" t="s">
        <v>8</v>
      </c>
      <c r="F20" s="517"/>
      <c r="G20" s="504"/>
      <c r="H20" s="519"/>
      <c r="I20" s="857"/>
      <c r="J20" s="508"/>
      <c r="K20" s="508"/>
    </row>
    <row r="21" spans="1:12">
      <c r="A21" s="474"/>
      <c r="B21" s="518" t="s">
        <v>612</v>
      </c>
      <c r="C21" s="411">
        <f>IF(C14=1,C14*(C4+C5)*2,0)</f>
        <v>0</v>
      </c>
      <c r="D21" s="465"/>
      <c r="E21" s="413">
        <f>C21*D21</f>
        <v>0</v>
      </c>
      <c r="F21" s="414"/>
      <c r="G21" s="857"/>
      <c r="H21" s="508"/>
      <c r="I21" s="508"/>
      <c r="J21" s="508"/>
      <c r="K21" s="508"/>
    </row>
    <row r="22" spans="1:12" ht="11.25" customHeight="1">
      <c r="A22" s="474"/>
      <c r="B22" s="518" t="s">
        <v>570</v>
      </c>
      <c r="C22" s="411">
        <f>IF(C15=1,C15*(C4+C5)*2,0)</f>
        <v>0</v>
      </c>
      <c r="D22" s="465"/>
      <c r="E22" s="413">
        <f t="shared" ref="E22:E45" si="0">C22*D22</f>
        <v>0</v>
      </c>
      <c r="F22" s="414"/>
      <c r="G22" s="857"/>
      <c r="H22" s="508"/>
      <c r="I22" s="508"/>
      <c r="J22" s="508"/>
      <c r="K22" s="508"/>
      <c r="L22" s="329"/>
    </row>
    <row r="23" spans="1:12">
      <c r="A23" s="474"/>
      <c r="B23" s="518" t="s">
        <v>117</v>
      </c>
      <c r="C23" s="411">
        <f>IF((C12+C13)&gt;0,(C12+C13)*4*(C4+C5),0)</f>
        <v>0</v>
      </c>
      <c r="D23" s="465"/>
      <c r="E23" s="413">
        <f t="shared" si="0"/>
        <v>0</v>
      </c>
      <c r="F23" s="414"/>
      <c r="G23" s="857"/>
      <c r="H23" s="508"/>
      <c r="I23" s="508"/>
      <c r="J23" s="508"/>
      <c r="K23" s="508"/>
      <c r="L23" s="313"/>
    </row>
    <row r="24" spans="1:12">
      <c r="A24" s="474"/>
      <c r="B24" s="520" t="s">
        <v>799</v>
      </c>
      <c r="C24" s="416">
        <f>(C4+C5)*2</f>
        <v>0</v>
      </c>
      <c r="D24" s="422"/>
      <c r="E24" s="413">
        <f>C24*D24</f>
        <v>0</v>
      </c>
      <c r="F24" s="414"/>
      <c r="G24" s="414"/>
      <c r="H24" s="508"/>
      <c r="I24" s="508"/>
      <c r="J24" s="508"/>
      <c r="K24" s="508"/>
    </row>
    <row r="25" spans="1:12">
      <c r="A25" s="474"/>
      <c r="B25" s="518" t="s">
        <v>481</v>
      </c>
      <c r="C25" s="411">
        <f>(C5+C15)*C2*2</f>
        <v>0</v>
      </c>
      <c r="D25" s="465"/>
      <c r="E25" s="413">
        <f t="shared" si="0"/>
        <v>0</v>
      </c>
      <c r="F25" s="414"/>
      <c r="G25" s="414"/>
      <c r="H25" s="508"/>
      <c r="I25" s="508"/>
      <c r="J25" s="508"/>
      <c r="K25" s="508"/>
    </row>
    <row r="26" spans="1:12">
      <c r="A26" s="474"/>
      <c r="B26" s="520" t="s">
        <v>370</v>
      </c>
      <c r="C26" s="416">
        <f>C13*4*C2*(C4+C5)</f>
        <v>0</v>
      </c>
      <c r="D26" s="422"/>
      <c r="E26" s="413">
        <f t="shared" si="0"/>
        <v>0</v>
      </c>
      <c r="F26" s="414"/>
      <c r="G26" s="414"/>
      <c r="H26" s="508"/>
      <c r="I26" s="508"/>
      <c r="J26" s="508"/>
      <c r="K26" s="508"/>
    </row>
    <row r="27" spans="1:12">
      <c r="A27" s="474"/>
      <c r="B27" s="520" t="s">
        <v>118</v>
      </c>
      <c r="C27" s="416">
        <f>C2*(C12+C14)*(C4+C5)*2</f>
        <v>0</v>
      </c>
      <c r="D27" s="422"/>
      <c r="E27" s="413">
        <f t="shared" si="0"/>
        <v>0</v>
      </c>
      <c r="F27" s="414"/>
      <c r="G27" s="414"/>
      <c r="H27" s="508"/>
      <c r="I27" s="508"/>
      <c r="J27" s="508"/>
      <c r="K27" s="508"/>
    </row>
    <row r="28" spans="1:12">
      <c r="A28" s="474"/>
      <c r="B28" s="520" t="s">
        <v>487</v>
      </c>
      <c r="C28" s="416">
        <f>C4*C2*2</f>
        <v>0</v>
      </c>
      <c r="D28" s="422"/>
      <c r="E28" s="413">
        <f t="shared" si="0"/>
        <v>0</v>
      </c>
      <c r="F28" s="414"/>
      <c r="G28" s="414"/>
      <c r="H28" s="508"/>
      <c r="I28" s="508"/>
      <c r="J28" s="508"/>
      <c r="K28" s="508"/>
    </row>
    <row r="29" spans="1:12">
      <c r="A29" s="474"/>
      <c r="B29" s="520" t="s">
        <v>623</v>
      </c>
      <c r="C29" s="416">
        <f>C14*C2*(C4+C5)*2</f>
        <v>0</v>
      </c>
      <c r="D29" s="422"/>
      <c r="E29" s="413">
        <f t="shared" si="0"/>
        <v>0</v>
      </c>
      <c r="F29" s="414"/>
      <c r="G29" s="414"/>
      <c r="H29" s="508"/>
      <c r="I29" s="508"/>
      <c r="J29" s="508"/>
      <c r="K29" s="508"/>
    </row>
    <row r="30" spans="1:12">
      <c r="A30" s="474"/>
      <c r="B30" s="520" t="s">
        <v>474</v>
      </c>
      <c r="C30" s="416">
        <f>C15*C2*(C4+C5)*2</f>
        <v>0</v>
      </c>
      <c r="D30" s="422"/>
      <c r="E30" s="413">
        <f t="shared" si="0"/>
        <v>0</v>
      </c>
      <c r="F30" s="414"/>
      <c r="G30" s="414"/>
      <c r="H30" s="508"/>
      <c r="I30" s="508"/>
      <c r="J30" s="508"/>
      <c r="K30" s="508"/>
    </row>
    <row r="31" spans="1:12">
      <c r="A31" s="474"/>
      <c r="B31" s="520" t="s">
        <v>371</v>
      </c>
      <c r="C31" s="416">
        <f>C12*C2*(C4+C5)*2</f>
        <v>0</v>
      </c>
      <c r="D31" s="422"/>
      <c r="E31" s="413">
        <f t="shared" si="0"/>
        <v>0</v>
      </c>
      <c r="F31" s="414"/>
      <c r="G31" s="414"/>
      <c r="H31" s="508"/>
      <c r="I31" s="508"/>
      <c r="J31" s="508"/>
      <c r="K31" s="508"/>
    </row>
    <row r="32" spans="1:12">
      <c r="A32" s="474"/>
      <c r="B32" s="520" t="s">
        <v>372</v>
      </c>
      <c r="C32" s="416">
        <f>C13*C2*(C4+C5)*2</f>
        <v>0</v>
      </c>
      <c r="D32" s="422"/>
      <c r="E32" s="413">
        <f t="shared" si="0"/>
        <v>0</v>
      </c>
      <c r="F32" s="414"/>
      <c r="G32" s="414"/>
      <c r="H32" s="508"/>
      <c r="I32" s="508"/>
      <c r="J32" s="508"/>
      <c r="K32" s="508"/>
    </row>
    <row r="33" spans="1:11">
      <c r="A33" s="474"/>
      <c r="B33" s="518" t="s">
        <v>532</v>
      </c>
      <c r="C33" s="411">
        <f>C2*C4*2</f>
        <v>0</v>
      </c>
      <c r="D33" s="465"/>
      <c r="E33" s="413">
        <f t="shared" si="0"/>
        <v>0</v>
      </c>
      <c r="F33" s="414"/>
      <c r="G33" s="414"/>
      <c r="H33" s="508"/>
      <c r="I33" s="508"/>
      <c r="J33" s="508"/>
      <c r="K33" s="508"/>
    </row>
    <row r="34" spans="1:11">
      <c r="A34" s="474"/>
      <c r="B34" s="518" t="s">
        <v>458</v>
      </c>
      <c r="C34" s="411">
        <f>C2*C5*2</f>
        <v>0</v>
      </c>
      <c r="D34" s="465"/>
      <c r="E34" s="413">
        <f t="shared" si="0"/>
        <v>0</v>
      </c>
      <c r="F34" s="414"/>
      <c r="G34" s="414"/>
      <c r="H34" s="508"/>
      <c r="I34" s="508"/>
      <c r="J34" s="508"/>
      <c r="K34" s="508"/>
    </row>
    <row r="35" spans="1:11">
      <c r="A35" s="474"/>
      <c r="B35" s="520" t="s">
        <v>374</v>
      </c>
      <c r="C35" s="416">
        <f>C5*2</f>
        <v>0</v>
      </c>
      <c r="D35" s="422"/>
      <c r="E35" s="413">
        <f t="shared" si="0"/>
        <v>0</v>
      </c>
      <c r="F35" s="414"/>
      <c r="G35" s="414"/>
      <c r="H35" s="508"/>
      <c r="I35" s="508"/>
      <c r="J35" s="508"/>
      <c r="K35" s="508"/>
    </row>
    <row r="36" spans="1:11">
      <c r="A36" s="474"/>
      <c r="B36" s="520" t="s">
        <v>836</v>
      </c>
      <c r="C36" s="416">
        <f>(C4+C5)*2</f>
        <v>0</v>
      </c>
      <c r="D36" s="422"/>
      <c r="E36" s="413">
        <f t="shared" si="0"/>
        <v>0</v>
      </c>
      <c r="F36" s="414"/>
      <c r="G36" s="414"/>
      <c r="H36" s="508"/>
      <c r="I36" s="508"/>
      <c r="J36" s="508"/>
      <c r="K36" s="508"/>
    </row>
    <row r="37" spans="1:11">
      <c r="A37" s="474"/>
      <c r="B37" s="521" t="s">
        <v>461</v>
      </c>
      <c r="C37" s="468">
        <f>(C4+C5)*2</f>
        <v>0</v>
      </c>
      <c r="D37" s="422"/>
      <c r="E37" s="469">
        <f t="shared" si="0"/>
        <v>0</v>
      </c>
      <c r="F37" s="414"/>
      <c r="G37" s="414"/>
      <c r="H37" s="508"/>
      <c r="I37" s="508"/>
      <c r="J37" s="508"/>
      <c r="K37" s="508"/>
    </row>
    <row r="38" spans="1:11">
      <c r="A38" s="474"/>
      <c r="B38" s="521" t="s">
        <v>382</v>
      </c>
      <c r="C38" s="468">
        <f>(C6+C7)*(C4+C5)*2</f>
        <v>0</v>
      </c>
      <c r="D38" s="422"/>
      <c r="E38" s="469">
        <f t="shared" si="0"/>
        <v>0</v>
      </c>
      <c r="F38" s="414"/>
      <c r="G38" s="414"/>
      <c r="H38" s="508"/>
      <c r="I38" s="508"/>
      <c r="J38" s="508"/>
      <c r="K38" s="508"/>
    </row>
    <row r="39" spans="1:11">
      <c r="A39" s="474"/>
      <c r="B39" s="521" t="s">
        <v>502</v>
      </c>
      <c r="C39" s="468">
        <f>C7*C5*2</f>
        <v>0</v>
      </c>
      <c r="D39" s="422"/>
      <c r="E39" s="469">
        <f t="shared" si="0"/>
        <v>0</v>
      </c>
      <c r="F39" s="414"/>
      <c r="G39" s="414"/>
      <c r="H39" s="508"/>
      <c r="I39" s="508"/>
      <c r="J39" s="508"/>
      <c r="K39" s="508"/>
    </row>
    <row r="40" spans="1:11" hidden="1">
      <c r="A40" s="474"/>
      <c r="B40" s="521" t="s">
        <v>535</v>
      </c>
      <c r="C40" s="468">
        <f>C4*2</f>
        <v>0</v>
      </c>
      <c r="D40" s="422"/>
      <c r="E40" s="469">
        <f t="shared" si="0"/>
        <v>0</v>
      </c>
      <c r="F40" s="414"/>
      <c r="G40" s="414"/>
      <c r="H40" s="508"/>
      <c r="I40" s="508"/>
      <c r="J40" s="508"/>
      <c r="K40" s="508"/>
    </row>
    <row r="41" spans="1:11">
      <c r="A41" s="474"/>
      <c r="B41" s="521" t="s">
        <v>387</v>
      </c>
      <c r="C41" s="468">
        <f>C9*C5*2</f>
        <v>0</v>
      </c>
      <c r="D41" s="422"/>
      <c r="E41" s="469">
        <f t="shared" si="0"/>
        <v>0</v>
      </c>
      <c r="F41" s="414"/>
      <c r="G41" s="414"/>
      <c r="H41" s="508"/>
      <c r="I41" s="508"/>
      <c r="J41" s="508"/>
      <c r="K41" s="508"/>
    </row>
    <row r="42" spans="1:11">
      <c r="A42" s="474"/>
      <c r="B42" s="521" t="s">
        <v>536</v>
      </c>
      <c r="C42" s="468">
        <f>(C9+C8)*(C4+C5)*2</f>
        <v>0</v>
      </c>
      <c r="D42" s="422"/>
      <c r="E42" s="469">
        <f t="shared" si="0"/>
        <v>0</v>
      </c>
      <c r="F42" s="414"/>
      <c r="G42" s="414"/>
      <c r="H42" s="508"/>
      <c r="I42" s="508"/>
      <c r="J42" s="508"/>
      <c r="K42" s="508"/>
    </row>
    <row r="43" spans="1:11">
      <c r="A43" s="474"/>
      <c r="B43" s="180" t="s">
        <v>145</v>
      </c>
      <c r="C43" s="468">
        <f>C17</f>
        <v>0</v>
      </c>
      <c r="D43" s="791"/>
      <c r="E43" s="469">
        <f t="shared" si="0"/>
        <v>0</v>
      </c>
      <c r="F43" s="414"/>
      <c r="G43" s="414"/>
      <c r="H43" s="508"/>
      <c r="I43" s="508"/>
      <c r="J43" s="508"/>
      <c r="K43" s="508"/>
    </row>
    <row r="44" spans="1:11">
      <c r="A44" s="474"/>
      <c r="B44" s="180" t="s">
        <v>148</v>
      </c>
      <c r="C44" s="468">
        <f>C16</f>
        <v>0</v>
      </c>
      <c r="D44" s="791"/>
      <c r="E44" s="469">
        <f t="shared" si="0"/>
        <v>0</v>
      </c>
      <c r="F44" s="414"/>
      <c r="G44" s="414"/>
      <c r="H44" s="508"/>
      <c r="I44" s="508"/>
      <c r="J44" s="508"/>
      <c r="K44" s="508"/>
    </row>
    <row r="45" spans="1:11" ht="12" thickBot="1">
      <c r="A45" s="474"/>
      <c r="B45" s="35" t="s">
        <v>696</v>
      </c>
      <c r="C45" s="471">
        <f>C18</f>
        <v>0</v>
      </c>
      <c r="D45" s="899"/>
      <c r="E45" s="473">
        <f t="shared" si="0"/>
        <v>0</v>
      </c>
      <c r="F45" s="414"/>
      <c r="G45" s="414"/>
      <c r="H45" s="508"/>
      <c r="I45" s="508"/>
      <c r="J45" s="508"/>
      <c r="K45" s="508"/>
    </row>
    <row r="46" spans="1:11" ht="13.5" thickBot="1">
      <c r="A46" s="474"/>
      <c r="B46" s="508"/>
      <c r="C46" s="508"/>
      <c r="D46" s="524" t="s">
        <v>9</v>
      </c>
      <c r="E46" s="898">
        <f>SUMIF(E21:E45,"&gt;0",E21:E45)</f>
        <v>0</v>
      </c>
      <c r="F46" s="526"/>
      <c r="G46" s="414"/>
      <c r="H46" s="508"/>
      <c r="I46" s="508"/>
      <c r="J46" s="508"/>
      <c r="K46" s="508"/>
    </row>
    <row r="47" spans="1:11">
      <c r="A47" s="474"/>
      <c r="B47" s="508"/>
      <c r="C47" s="508"/>
      <c r="D47" s="508"/>
      <c r="E47" s="508"/>
      <c r="F47" s="508"/>
      <c r="G47" s="414"/>
      <c r="H47" s="508"/>
      <c r="I47" s="508"/>
      <c r="J47" s="508"/>
      <c r="K47" s="508"/>
    </row>
    <row r="48" spans="1:11">
      <c r="A48" s="474"/>
      <c r="B48" s="508"/>
      <c r="C48" s="508"/>
      <c r="D48" s="508"/>
      <c r="E48" s="508"/>
      <c r="F48" s="508"/>
      <c r="G48" s="414"/>
      <c r="H48" s="508"/>
      <c r="I48" s="508"/>
      <c r="J48" s="508"/>
      <c r="K48" s="508"/>
    </row>
    <row r="49" spans="1:11">
      <c r="A49" s="474"/>
      <c r="B49" s="508"/>
      <c r="C49" s="508"/>
      <c r="D49" s="508"/>
      <c r="E49" s="508"/>
      <c r="F49" s="508"/>
      <c r="G49" s="414"/>
      <c r="H49" s="508"/>
      <c r="I49" s="508"/>
      <c r="J49" s="508"/>
      <c r="K49" s="508"/>
    </row>
    <row r="50" spans="1:11">
      <c r="A50" s="474"/>
      <c r="B50" s="474"/>
      <c r="C50" s="474"/>
      <c r="D50" s="474"/>
      <c r="E50" s="474"/>
      <c r="F50" s="474"/>
      <c r="G50" s="414"/>
      <c r="H50" s="508"/>
      <c r="I50" s="508"/>
      <c r="J50" s="508"/>
      <c r="K50" s="508"/>
    </row>
    <row r="51" spans="1:11">
      <c r="A51" s="474"/>
      <c r="G51" s="414"/>
      <c r="H51" s="508"/>
      <c r="I51" s="508"/>
      <c r="J51" s="508"/>
      <c r="K51" s="508"/>
    </row>
    <row r="52" spans="1:11">
      <c r="A52" s="474"/>
      <c r="G52" s="414"/>
      <c r="H52" s="508"/>
      <c r="I52" s="508"/>
      <c r="J52" s="508"/>
      <c r="K52" s="510"/>
    </row>
    <row r="53" spans="1:11">
      <c r="A53" s="474"/>
      <c r="G53" s="414"/>
      <c r="H53" s="508"/>
      <c r="I53" s="508"/>
      <c r="J53" s="508"/>
      <c r="K53" s="508"/>
    </row>
    <row r="54" spans="1:11">
      <c r="A54" s="474"/>
      <c r="G54" s="414"/>
      <c r="H54" s="474"/>
      <c r="I54" s="474"/>
      <c r="J54" s="474"/>
      <c r="K54" s="474"/>
    </row>
    <row r="55" spans="1:11">
      <c r="A55" s="474"/>
      <c r="G55" s="526"/>
      <c r="H55" s="474"/>
      <c r="I55" s="474"/>
      <c r="J55" s="474"/>
      <c r="K55" s="474"/>
    </row>
    <row r="56" spans="1:11">
      <c r="A56" s="474"/>
      <c r="G56" s="508"/>
    </row>
    <row r="57" spans="1:11">
      <c r="A57" s="474"/>
      <c r="G57" s="508"/>
    </row>
    <row r="58" spans="1:11">
      <c r="A58" s="474"/>
      <c r="G58" s="508"/>
    </row>
    <row r="59" spans="1:11">
      <c r="A59" s="474"/>
      <c r="G59" s="474"/>
    </row>
    <row r="60" spans="1:11">
      <c r="A60" s="474"/>
      <c r="G60" s="474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470" priority="11" operator="equal">
      <formula>"ДА"</formula>
    </cfRule>
    <cfRule type="cellIs" dxfId="469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468" priority="10" operator="greaterThan">
      <formula>0</formula>
    </cfRule>
  </conditionalFormatting>
  <conditionalFormatting sqref="E46">
    <cfRule type="cellIs" dxfId="467" priority="8" operator="greaterThan">
      <formula>0</formula>
    </cfRule>
    <cfRule type="cellIs" dxfId="466" priority="9" operator="greaterThan">
      <formula>0</formula>
    </cfRule>
  </conditionalFormatting>
  <conditionalFormatting sqref="C2:C18">
    <cfRule type="cellIs" dxfId="465" priority="6" operator="greaterThan">
      <formula>0</formula>
    </cfRule>
  </conditionalFormatting>
  <conditionalFormatting sqref="C24:E24">
    <cfRule type="cellIs" dxfId="464" priority="3" operator="greaterThan">
      <formula>0</formula>
    </cfRule>
  </conditionalFormatting>
  <conditionalFormatting sqref="C43:C45">
    <cfRule type="cellIs" dxfId="463" priority="2" operator="greaterThan">
      <formula>0</formula>
    </cfRule>
  </conditionalFormatting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60" sqref="F60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74"/>
      <c r="B1" s="1114"/>
      <c r="C1" s="1115"/>
      <c r="D1" s="1115"/>
      <c r="E1" s="474"/>
      <c r="F1" s="474"/>
      <c r="G1" s="474"/>
      <c r="H1" s="474"/>
      <c r="I1" s="474"/>
      <c r="J1" s="474"/>
      <c r="K1" s="474"/>
      <c r="L1" s="474"/>
    </row>
    <row r="2" spans="1:15" ht="12" customHeight="1" thickBot="1">
      <c r="A2" s="474"/>
      <c r="B2" s="476" t="s">
        <v>10</v>
      </c>
      <c r="C2" s="527">
        <v>0</v>
      </c>
      <c r="D2" s="1116" t="s">
        <v>602</v>
      </c>
      <c r="E2" s="1117"/>
      <c r="F2" s="1118"/>
      <c r="G2" s="550"/>
      <c r="H2" s="478" t="s">
        <v>492</v>
      </c>
      <c r="I2" s="479" t="s">
        <v>611</v>
      </c>
      <c r="J2" s="545" t="s">
        <v>4</v>
      </c>
      <c r="K2" s="546" t="s">
        <v>8</v>
      </c>
      <c r="L2" s="551"/>
    </row>
    <row r="3" spans="1:15" ht="12.75" thickBot="1">
      <c r="A3" s="474"/>
      <c r="B3" s="481" t="s">
        <v>1</v>
      </c>
      <c r="C3" s="528">
        <v>0</v>
      </c>
      <c r="D3" s="1119"/>
      <c r="E3" s="1120"/>
      <c r="F3" s="1121"/>
      <c r="G3" s="550"/>
      <c r="H3" s="482" t="s">
        <v>379</v>
      </c>
      <c r="I3" s="483" t="str">
        <f>IF(AND($C$7+$C$8=1,$C$9+$C$10+$C$11+$C$12=0,$C$13=2),"ДА","НЕТ")</f>
        <v>НЕТ</v>
      </c>
      <c r="J3" s="387"/>
      <c r="K3" s="388">
        <f>IF(I3="ДА",($C$4+$C$5+$C$6)*J3,0)</f>
        <v>0</v>
      </c>
      <c r="L3" s="551"/>
    </row>
    <row r="4" spans="1:15" ht="12" customHeight="1">
      <c r="A4" s="474"/>
      <c r="B4" s="476" t="s">
        <v>537</v>
      </c>
      <c r="C4" s="533">
        <v>0</v>
      </c>
      <c r="D4" s="1116" t="s">
        <v>604</v>
      </c>
      <c r="E4" s="1117"/>
      <c r="F4" s="1118"/>
      <c r="G4" s="552"/>
      <c r="H4" s="485" t="s">
        <v>380</v>
      </c>
      <c r="I4" s="483" t="str">
        <f>IF(AND($C$7+$C$8=1,$C$9+$C$10+$C$11+$C$12=0,$C$13=2),"ДА","НЕТ")</f>
        <v>НЕТ</v>
      </c>
      <c r="J4" s="464"/>
      <c r="K4" s="388">
        <f t="shared" ref="K4:K21" si="0">IF(I4="ДА",($C$4+$C$5+$C$6)*J4,0)</f>
        <v>0</v>
      </c>
      <c r="L4" s="553"/>
    </row>
    <row r="5" spans="1:15" ht="12">
      <c r="A5" s="474"/>
      <c r="B5" s="488" t="s">
        <v>403</v>
      </c>
      <c r="C5" s="531"/>
      <c r="D5" s="1136"/>
      <c r="E5" s="1122"/>
      <c r="F5" s="1123"/>
      <c r="G5" s="508"/>
      <c r="H5" s="485" t="s">
        <v>381</v>
      </c>
      <c r="I5" s="483" t="str">
        <f>IF(AND($C$7+$C$8=1,$C$9+$C$10+$C$11+$C$12=0,$C$13=2),"ДА","НЕТ")</f>
        <v>НЕТ</v>
      </c>
      <c r="J5" s="464"/>
      <c r="K5" s="388">
        <f t="shared" si="0"/>
        <v>0</v>
      </c>
      <c r="L5" s="474"/>
    </row>
    <row r="6" spans="1:15" ht="12.75" thickBot="1">
      <c r="A6" s="474"/>
      <c r="B6" s="509" t="s">
        <v>399</v>
      </c>
      <c r="C6" s="535">
        <v>0</v>
      </c>
      <c r="D6" s="1136"/>
      <c r="E6" s="1122"/>
      <c r="F6" s="1123"/>
      <c r="G6" s="554"/>
      <c r="H6" s="487" t="s">
        <v>383</v>
      </c>
      <c r="I6" s="483" t="str">
        <f>IF(AND($C$7+$C$8=1,$C$9+$C$10+$C$11+$C$12=0,$C$13=3),"ДА","НЕТ")</f>
        <v>НЕТ</v>
      </c>
      <c r="J6" s="391"/>
      <c r="K6" s="388">
        <f t="shared" si="0"/>
        <v>0</v>
      </c>
      <c r="L6" s="555"/>
      <c r="M6" s="311"/>
      <c r="N6" s="311"/>
      <c r="O6" s="311"/>
    </row>
    <row r="7" spans="1:15" ht="12" customHeight="1">
      <c r="A7" s="474"/>
      <c r="B7" s="476" t="s">
        <v>528</v>
      </c>
      <c r="C7" s="533">
        <v>0</v>
      </c>
      <c r="D7" s="489" t="s">
        <v>294</v>
      </c>
      <c r="E7" s="490" t="s">
        <v>256</v>
      </c>
      <c r="F7" s="1124" t="s">
        <v>603</v>
      </c>
      <c r="G7" s="554"/>
      <c r="H7" s="485" t="s">
        <v>496</v>
      </c>
      <c r="I7" s="483" t="str">
        <f>IF(AND($C$9=1,$C$7+$C$8+$C$10+$C$11+$C$12=0,$C$13=1),"ДА","НЕТ")</f>
        <v>НЕТ</v>
      </c>
      <c r="J7" s="464"/>
      <c r="K7" s="388">
        <f t="shared" si="0"/>
        <v>0</v>
      </c>
      <c r="L7" s="555"/>
      <c r="M7" s="311"/>
      <c r="N7" s="311"/>
      <c r="O7" s="311"/>
    </row>
    <row r="8" spans="1:15" ht="12">
      <c r="A8" s="474"/>
      <c r="B8" s="488" t="s">
        <v>497</v>
      </c>
      <c r="C8" s="531"/>
      <c r="D8" s="493" t="s">
        <v>294</v>
      </c>
      <c r="E8" s="494" t="s">
        <v>256</v>
      </c>
      <c r="F8" s="1125"/>
      <c r="G8" s="508"/>
      <c r="H8" s="487" t="s">
        <v>493</v>
      </c>
      <c r="I8" s="483" t="str">
        <f>IF(AND($C$9=1,$C$7+$C$8+$C$10+$C$11+$C$12=0,$C$13=3),"ДА","НЕТ")</f>
        <v>НЕТ</v>
      </c>
      <c r="J8" s="391"/>
      <c r="K8" s="388">
        <f t="shared" si="0"/>
        <v>0</v>
      </c>
      <c r="L8" s="474"/>
    </row>
    <row r="9" spans="1:15" ht="12">
      <c r="A9" s="474"/>
      <c r="B9" s="486" t="s">
        <v>498</v>
      </c>
      <c r="C9" s="530">
        <v>0</v>
      </c>
      <c r="D9" s="493" t="s">
        <v>294</v>
      </c>
      <c r="E9" s="493" t="s">
        <v>256</v>
      </c>
      <c r="F9" s="1125"/>
      <c r="G9" s="508"/>
      <c r="H9" s="487" t="s">
        <v>494</v>
      </c>
      <c r="I9" s="483" t="str">
        <f>IF(AND($C$9=1,$C$7+$C$8+$C$10+$C$11+$C$12=0,$C$13=2),"ДА","НЕТ")</f>
        <v>НЕТ</v>
      </c>
      <c r="J9" s="391"/>
      <c r="K9" s="388">
        <f t="shared" si="0"/>
        <v>0</v>
      </c>
      <c r="L9" s="474"/>
    </row>
    <row r="10" spans="1:15" ht="12">
      <c r="A10" s="474"/>
      <c r="B10" s="488" t="s">
        <v>529</v>
      </c>
      <c r="C10" s="531">
        <v>0</v>
      </c>
      <c r="D10" s="491" t="s">
        <v>294</v>
      </c>
      <c r="E10" s="492" t="s">
        <v>256</v>
      </c>
      <c r="F10" s="1125"/>
      <c r="G10" s="508"/>
      <c r="H10" s="487" t="s">
        <v>495</v>
      </c>
      <c r="I10" s="483" t="str">
        <f>IF(AND($C$9=1,$C$7+$C$8+$C$10+$C$11+$C$12=0,$C$13=2),"ДА","НЕТ")</f>
        <v>НЕТ</v>
      </c>
      <c r="J10" s="391"/>
      <c r="K10" s="388">
        <f t="shared" si="0"/>
        <v>0</v>
      </c>
      <c r="L10" s="474"/>
    </row>
    <row r="11" spans="1:15" ht="12">
      <c r="A11" s="474"/>
      <c r="B11" s="488" t="s">
        <v>499</v>
      </c>
      <c r="C11" s="531">
        <v>0</v>
      </c>
      <c r="D11" s="493" t="s">
        <v>294</v>
      </c>
      <c r="E11" s="494" t="s">
        <v>256</v>
      </c>
      <c r="F11" s="1125"/>
      <c r="G11" s="510"/>
      <c r="H11" s="487" t="s">
        <v>501</v>
      </c>
      <c r="I11" s="483" t="str">
        <f>IF(AND($C$9=1,$C$7+$C$8+$C$10+$C$11+$C$12=0,$C$13=2),"ДА","НЕТ")</f>
        <v>НЕТ</v>
      </c>
      <c r="J11" s="391"/>
      <c r="K11" s="388">
        <f t="shared" si="0"/>
        <v>0</v>
      </c>
      <c r="L11" s="558"/>
      <c r="M11" s="86"/>
      <c r="N11" s="86"/>
    </row>
    <row r="12" spans="1:15" ht="12.75" thickBot="1">
      <c r="A12" s="474"/>
      <c r="B12" s="559" t="s">
        <v>500</v>
      </c>
      <c r="C12" s="541">
        <v>0</v>
      </c>
      <c r="D12" s="560" t="s">
        <v>294</v>
      </c>
      <c r="E12" s="561" t="s">
        <v>256</v>
      </c>
      <c r="F12" s="1126"/>
      <c r="G12" s="562"/>
      <c r="H12" s="487" t="s">
        <v>633</v>
      </c>
      <c r="I12" s="483" t="str">
        <f>IF(AND($C$10=1,$C$8+$C$9+$C$7+$C$11+$C$12=0,$C$13=2),"ДА","НЕТ")</f>
        <v>НЕТ</v>
      </c>
      <c r="J12" s="391"/>
      <c r="K12" s="388">
        <f t="shared" si="0"/>
        <v>0</v>
      </c>
      <c r="L12" s="558"/>
      <c r="M12" s="86"/>
      <c r="N12" s="86"/>
    </row>
    <row r="13" spans="1:15" ht="12.75" thickBot="1">
      <c r="A13" s="474"/>
      <c r="B13" s="498" t="s">
        <v>596</v>
      </c>
      <c r="C13" s="534">
        <v>0</v>
      </c>
      <c r="D13" s="540" t="s">
        <v>626</v>
      </c>
      <c r="E13" s="503" t="s">
        <v>627</v>
      </c>
      <c r="F13" s="505" t="s">
        <v>628</v>
      </c>
      <c r="G13" s="562"/>
      <c r="H13" s="487" t="s">
        <v>525</v>
      </c>
      <c r="I13" s="483" t="str">
        <f>IF(AND($C$10=1,$C$8+$C$9+$C$7+$C$11+$C$12=0,$C$13=2),"ДА","НЕТ")</f>
        <v>НЕТ</v>
      </c>
      <c r="J13" s="391"/>
      <c r="K13" s="388">
        <f t="shared" si="0"/>
        <v>0</v>
      </c>
      <c r="L13" s="558"/>
      <c r="M13" s="86"/>
      <c r="N13" s="86"/>
    </row>
    <row r="14" spans="1:15" ht="12.75" thickBot="1">
      <c r="A14" s="474"/>
      <c r="B14" s="498" t="s">
        <v>729</v>
      </c>
      <c r="C14" s="534">
        <v>0</v>
      </c>
      <c r="D14" s="560" t="s">
        <v>294</v>
      </c>
      <c r="E14" s="561" t="s">
        <v>256</v>
      </c>
      <c r="F14" s="690"/>
      <c r="G14" s="508"/>
      <c r="H14" s="487" t="s">
        <v>526</v>
      </c>
      <c r="I14" s="483" t="str">
        <f>IF(AND($C$10=1,$C$8+$C$9+$C$7+$C$11+$C$12=0,$C$13=1),"ДА","НЕТ")</f>
        <v>НЕТ</v>
      </c>
      <c r="J14" s="391"/>
      <c r="K14" s="388">
        <f t="shared" si="0"/>
        <v>0</v>
      </c>
      <c r="L14" s="474"/>
    </row>
    <row r="15" spans="1:15" ht="12" customHeight="1" thickBot="1">
      <c r="A15" s="474"/>
      <c r="B15" s="498" t="s">
        <v>365</v>
      </c>
      <c r="C15" s="534">
        <v>0</v>
      </c>
      <c r="D15" s="502" t="s">
        <v>629</v>
      </c>
      <c r="E15" s="503" t="s">
        <v>630</v>
      </c>
      <c r="F15" s="690"/>
      <c r="G15" s="508"/>
      <c r="H15" s="485" t="s">
        <v>386</v>
      </c>
      <c r="I15" s="483" t="str">
        <f>IF(AND($C$11=1,$C$7+$C$9+$C$10+$C$8+$C$12=0,$C$13=2),"ДА","НЕТ")</f>
        <v>НЕТ</v>
      </c>
      <c r="J15" s="394"/>
      <c r="K15" s="388">
        <f t="shared" si="0"/>
        <v>0</v>
      </c>
      <c r="L15" s="474"/>
    </row>
    <row r="16" spans="1:15" ht="12">
      <c r="A16" s="474"/>
      <c r="B16" s="476" t="s">
        <v>404</v>
      </c>
      <c r="C16" s="533">
        <v>0</v>
      </c>
      <c r="D16" s="493" t="s">
        <v>294</v>
      </c>
      <c r="E16" s="494" t="s">
        <v>256</v>
      </c>
      <c r="F16" s="1137" t="s">
        <v>604</v>
      </c>
      <c r="G16" s="508"/>
      <c r="H16" s="482" t="s">
        <v>388</v>
      </c>
      <c r="I16" s="483" t="str">
        <f>IF(AND($C$11=1,$C$7+$C$9+$C$10+$C$8+$C$12=0,$C$13=1),"ДА","НЕТ")</f>
        <v>НЕТ</v>
      </c>
      <c r="J16" s="394"/>
      <c r="K16" s="388">
        <f t="shared" si="0"/>
        <v>0</v>
      </c>
      <c r="L16" s="474"/>
    </row>
    <row r="17" spans="1:12" ht="12.75" thickBot="1">
      <c r="A17" s="558"/>
      <c r="B17" s="481" t="s">
        <v>405</v>
      </c>
      <c r="C17" s="532">
        <v>0</v>
      </c>
      <c r="D17" s="556" t="s">
        <v>294</v>
      </c>
      <c r="E17" s="557" t="s">
        <v>256</v>
      </c>
      <c r="F17" s="1138"/>
      <c r="G17" s="508"/>
      <c r="H17" s="482" t="s">
        <v>389</v>
      </c>
      <c r="I17" s="483" t="str">
        <f>IF(AND($C$11=1,$C$7+$C$9+$C$10+$C$8+$C$12=0,$C$13=3),"ДА","НЕТ")</f>
        <v>НЕТ</v>
      </c>
      <c r="J17" s="394"/>
      <c r="K17" s="388">
        <f t="shared" si="0"/>
        <v>0</v>
      </c>
      <c r="L17" s="474"/>
    </row>
    <row r="18" spans="1:12" ht="12">
      <c r="A18" s="558"/>
      <c r="B18" s="476" t="s">
        <v>147</v>
      </c>
      <c r="C18" s="533">
        <v>0</v>
      </c>
      <c r="D18" s="1127" t="s">
        <v>693</v>
      </c>
      <c r="E18" s="1128"/>
      <c r="F18" s="1129"/>
      <c r="G18" s="508"/>
      <c r="H18" s="482" t="s">
        <v>390</v>
      </c>
      <c r="I18" s="483" t="str">
        <f>IF(AND($C$12=1,$C$7+$C$8+$C$9+$C$10+$C$11=0,$C$13=1),"ДА","НЕТ")</f>
        <v>НЕТ</v>
      </c>
      <c r="J18" s="394"/>
      <c r="K18" s="388">
        <f t="shared" si="0"/>
        <v>0</v>
      </c>
      <c r="L18" s="474"/>
    </row>
    <row r="19" spans="1:12" ht="12">
      <c r="A19" s="558"/>
      <c r="B19" s="486" t="s">
        <v>146</v>
      </c>
      <c r="C19" s="530">
        <v>0</v>
      </c>
      <c r="D19" s="1130" t="s">
        <v>694</v>
      </c>
      <c r="E19" s="1131"/>
      <c r="F19" s="1132"/>
      <c r="G19" s="508"/>
      <c r="H19" s="485" t="s">
        <v>391</v>
      </c>
      <c r="I19" s="483" t="str">
        <f>IF(AND($C$12=1,$C$7+$C$8+$C$9+$C$10+$C$11=0,$C$13=1),"ДА","НЕТ")</f>
        <v>НЕТ</v>
      </c>
      <c r="J19" s="394"/>
      <c r="K19" s="388">
        <f t="shared" si="0"/>
        <v>0</v>
      </c>
      <c r="L19" s="474"/>
    </row>
    <row r="20" spans="1:12" ht="12.75" thickBot="1">
      <c r="A20" s="558"/>
      <c r="B20" s="481" t="s">
        <v>143</v>
      </c>
      <c r="C20" s="532">
        <v>0</v>
      </c>
      <c r="D20" s="1133" t="s">
        <v>695</v>
      </c>
      <c r="E20" s="1134"/>
      <c r="F20" s="1135"/>
      <c r="G20" s="508"/>
      <c r="H20" s="482" t="s">
        <v>395</v>
      </c>
      <c r="I20" s="483" t="str">
        <f>IF(AND($C$12=1,$C$7+$C$8+$C$9+$C$10+$C$11=0,$C$13=2),"ДА","НЕТ")</f>
        <v>НЕТ</v>
      </c>
      <c r="J20" s="394"/>
      <c r="K20" s="388">
        <f t="shared" si="0"/>
        <v>0</v>
      </c>
      <c r="L20" s="474"/>
    </row>
    <row r="21" spans="1:12" ht="12.75" thickBot="1">
      <c r="A21" s="558"/>
      <c r="B21" s="477"/>
      <c r="C21" s="477"/>
      <c r="D21" s="477"/>
      <c r="E21" s="510"/>
      <c r="F21" s="510"/>
      <c r="G21" s="508"/>
      <c r="H21" s="506" t="s">
        <v>396</v>
      </c>
      <c r="I21" s="507" t="str">
        <f>IF(AND($C$12=1,$C$7+$C$8+$C$9+$C$10+$C$11=0,$C$13=2),"ДА","НЕТ")</f>
        <v>НЕТ</v>
      </c>
      <c r="J21" s="401"/>
      <c r="K21" s="544">
        <f t="shared" si="0"/>
        <v>0</v>
      </c>
      <c r="L21" s="474"/>
    </row>
    <row r="22" spans="1:12" ht="12" thickBot="1">
      <c r="A22" s="474"/>
      <c r="B22" s="477"/>
      <c r="C22" s="477"/>
      <c r="D22" s="477"/>
      <c r="E22" s="510"/>
      <c r="F22" s="510"/>
      <c r="G22" s="508"/>
      <c r="H22" s="508"/>
      <c r="I22" s="508"/>
      <c r="J22" s="508"/>
      <c r="K22" s="508"/>
      <c r="L22" s="474"/>
    </row>
    <row r="23" spans="1:12" ht="13.5" thickBot="1">
      <c r="A23" s="474"/>
      <c r="B23" s="563" t="s">
        <v>5</v>
      </c>
      <c r="C23" s="564" t="s">
        <v>0</v>
      </c>
      <c r="D23" s="565" t="s">
        <v>4</v>
      </c>
      <c r="E23" s="566" t="s">
        <v>8</v>
      </c>
      <c r="F23" s="517"/>
      <c r="G23" s="508"/>
      <c r="H23" s="508"/>
      <c r="I23" s="508"/>
      <c r="J23" s="508"/>
      <c r="K23" s="508"/>
      <c r="L23" s="474"/>
    </row>
    <row r="24" spans="1:12">
      <c r="A24" s="474"/>
      <c r="B24" s="567" t="s">
        <v>406</v>
      </c>
      <c r="C24" s="547">
        <f>C16*2*(C4+C5+C6)</f>
        <v>0</v>
      </c>
      <c r="D24" s="548"/>
      <c r="E24" s="549">
        <f>C24*D24</f>
        <v>0</v>
      </c>
      <c r="F24" s="414"/>
      <c r="G24" s="508"/>
      <c r="H24" s="508"/>
      <c r="I24" s="508"/>
      <c r="J24" s="508"/>
      <c r="K24" s="508"/>
      <c r="L24" s="474"/>
    </row>
    <row r="25" spans="1:12">
      <c r="A25" s="474"/>
      <c r="B25" s="518" t="s">
        <v>407</v>
      </c>
      <c r="C25" s="411">
        <f>IF(C16=0,C17*(C4+C5+C6),0)</f>
        <v>0</v>
      </c>
      <c r="D25" s="422"/>
      <c r="E25" s="413">
        <f t="shared" ref="E25:E57" si="1">C25*D25</f>
        <v>0</v>
      </c>
      <c r="F25" s="414"/>
      <c r="G25" s="510"/>
      <c r="H25" s="508"/>
      <c r="I25" s="508"/>
      <c r="J25" s="508"/>
      <c r="K25" s="508"/>
      <c r="L25" s="474"/>
    </row>
    <row r="26" spans="1:12">
      <c r="A26" s="474"/>
      <c r="B26" s="520" t="s">
        <v>486</v>
      </c>
      <c r="C26" s="416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422"/>
      <c r="E26" s="413">
        <f t="shared" si="1"/>
        <v>0</v>
      </c>
      <c r="F26" s="414"/>
      <c r="G26" s="508"/>
      <c r="H26" s="508"/>
      <c r="I26" s="508"/>
      <c r="J26" s="508"/>
      <c r="K26" s="508"/>
      <c r="L26" s="474"/>
    </row>
    <row r="27" spans="1:12">
      <c r="A27" s="474"/>
      <c r="B27" s="410" t="s">
        <v>730</v>
      </c>
      <c r="C27" s="416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422"/>
      <c r="E27" s="413">
        <f t="shared" si="1"/>
        <v>0</v>
      </c>
      <c r="F27" s="414"/>
      <c r="G27" s="508"/>
      <c r="H27" s="508"/>
      <c r="I27" s="508"/>
      <c r="J27" s="508"/>
      <c r="K27" s="508"/>
      <c r="L27" s="474"/>
    </row>
    <row r="28" spans="1:12">
      <c r="A28" s="474"/>
      <c r="B28" s="520" t="s">
        <v>454</v>
      </c>
      <c r="C28" s="416">
        <f>IF(C15=1,(C4+C6+C5)*2,0)</f>
        <v>0</v>
      </c>
      <c r="D28" s="422"/>
      <c r="E28" s="413">
        <f t="shared" si="1"/>
        <v>0</v>
      </c>
      <c r="F28" s="414"/>
      <c r="G28" s="477"/>
      <c r="H28" s="508"/>
      <c r="I28" s="508"/>
      <c r="J28" s="508"/>
      <c r="K28" s="508"/>
      <c r="L28" s="474"/>
    </row>
    <row r="29" spans="1:12">
      <c r="A29" s="474"/>
      <c r="B29" s="520" t="s">
        <v>455</v>
      </c>
      <c r="C29" s="416">
        <f>IF(C15=2,(C4+C6+C5)*2,0)</f>
        <v>0</v>
      </c>
      <c r="D29" s="422"/>
      <c r="E29" s="413">
        <f t="shared" si="1"/>
        <v>0</v>
      </c>
      <c r="F29" s="414"/>
      <c r="G29" s="508"/>
      <c r="H29" s="508"/>
      <c r="I29" s="508"/>
      <c r="J29" s="508"/>
      <c r="K29" s="508"/>
      <c r="L29" s="474"/>
    </row>
    <row r="30" spans="1:12">
      <c r="A30" s="474"/>
      <c r="B30" s="518" t="s">
        <v>634</v>
      </c>
      <c r="C30" s="419">
        <f>C28</f>
        <v>0</v>
      </c>
      <c r="D30" s="422"/>
      <c r="E30" s="413">
        <f t="shared" si="1"/>
        <v>0</v>
      </c>
      <c r="F30" s="414"/>
      <c r="G30" s="510"/>
      <c r="H30" s="508"/>
      <c r="I30" s="508"/>
      <c r="J30" s="508"/>
      <c r="K30" s="508"/>
      <c r="L30" s="474"/>
    </row>
    <row r="31" spans="1:12">
      <c r="A31" s="474"/>
      <c r="B31" s="520" t="s">
        <v>635</v>
      </c>
      <c r="C31" s="416">
        <f>C29</f>
        <v>0</v>
      </c>
      <c r="D31" s="422"/>
      <c r="E31" s="413">
        <f t="shared" si="1"/>
        <v>0</v>
      </c>
      <c r="F31" s="414"/>
      <c r="G31" s="508"/>
      <c r="H31" s="508"/>
      <c r="I31" s="508"/>
      <c r="J31" s="508"/>
      <c r="K31" s="508"/>
      <c r="L31" s="474"/>
    </row>
    <row r="32" spans="1:12">
      <c r="A32" s="474"/>
      <c r="B32" s="520" t="s">
        <v>484</v>
      </c>
      <c r="C32" s="416">
        <f>(C4+C6+C5)*C2</f>
        <v>0</v>
      </c>
      <c r="D32" s="422"/>
      <c r="E32" s="413">
        <f t="shared" si="1"/>
        <v>0</v>
      </c>
      <c r="F32" s="414"/>
      <c r="G32" s="477"/>
      <c r="H32" s="508"/>
      <c r="I32" s="508"/>
      <c r="J32" s="508"/>
      <c r="K32" s="508"/>
      <c r="L32" s="474"/>
    </row>
    <row r="33" spans="1:12">
      <c r="A33" s="474"/>
      <c r="B33" s="518" t="s">
        <v>481</v>
      </c>
      <c r="C33" s="411">
        <f>C5*C2</f>
        <v>0</v>
      </c>
      <c r="D33" s="422"/>
      <c r="E33" s="413">
        <f t="shared" si="1"/>
        <v>0</v>
      </c>
      <c r="F33" s="414"/>
      <c r="G33" s="477"/>
      <c r="H33" s="508"/>
      <c r="I33" s="508"/>
      <c r="J33" s="508"/>
      <c r="K33" s="508"/>
      <c r="L33" s="474"/>
    </row>
    <row r="34" spans="1:12">
      <c r="A34" s="474"/>
      <c r="B34" s="520" t="s">
        <v>408</v>
      </c>
      <c r="C34" s="416">
        <f>(C16+C17)*C2*(C4+C5+C6)</f>
        <v>0</v>
      </c>
      <c r="D34" s="422"/>
      <c r="E34" s="413">
        <f t="shared" si="1"/>
        <v>0</v>
      </c>
      <c r="F34" s="414"/>
      <c r="G34" s="477"/>
      <c r="H34" s="508"/>
      <c r="I34" s="508"/>
      <c r="J34" s="508"/>
      <c r="K34" s="508"/>
      <c r="L34" s="474"/>
    </row>
    <row r="35" spans="1:12">
      <c r="A35" s="474"/>
      <c r="B35" s="520" t="s">
        <v>409</v>
      </c>
      <c r="C35" s="416">
        <f>C17*C2*(C4+C5+C6)</f>
        <v>0</v>
      </c>
      <c r="D35" s="422"/>
      <c r="E35" s="413">
        <f t="shared" si="1"/>
        <v>0</v>
      </c>
      <c r="F35" s="414"/>
      <c r="G35" s="477"/>
      <c r="H35" s="508"/>
      <c r="I35" s="508"/>
      <c r="J35" s="508"/>
      <c r="K35" s="508"/>
      <c r="L35" s="474"/>
    </row>
    <row r="36" spans="1:12">
      <c r="A36" s="474"/>
      <c r="B36" s="518" t="s">
        <v>532</v>
      </c>
      <c r="C36" s="416">
        <f>C2*C4</f>
        <v>0</v>
      </c>
      <c r="D36" s="422"/>
      <c r="E36" s="413">
        <f t="shared" si="1"/>
        <v>0</v>
      </c>
      <c r="F36" s="414"/>
      <c r="G36" s="508"/>
      <c r="H36" s="508"/>
      <c r="I36" s="508"/>
      <c r="J36" s="508"/>
      <c r="K36" s="508"/>
      <c r="L36" s="474"/>
    </row>
    <row r="37" spans="1:12">
      <c r="A37" s="474"/>
      <c r="B37" s="518" t="s">
        <v>458</v>
      </c>
      <c r="C37" s="416">
        <f>C2*C5</f>
        <v>0</v>
      </c>
      <c r="D37" s="422"/>
      <c r="E37" s="413">
        <f t="shared" si="1"/>
        <v>0</v>
      </c>
      <c r="F37" s="414"/>
      <c r="G37" s="508"/>
      <c r="H37" s="508"/>
      <c r="I37" s="508"/>
      <c r="J37" s="508"/>
      <c r="K37" s="508"/>
      <c r="L37" s="474"/>
    </row>
    <row r="38" spans="1:12">
      <c r="A38" s="474"/>
      <c r="B38" s="518" t="s">
        <v>457</v>
      </c>
      <c r="C38" s="411">
        <f>C2*C6</f>
        <v>0</v>
      </c>
      <c r="D38" s="422"/>
      <c r="E38" s="413">
        <f t="shared" si="1"/>
        <v>0</v>
      </c>
      <c r="F38" s="414"/>
      <c r="G38" s="508"/>
      <c r="H38" s="508"/>
      <c r="I38" s="508"/>
      <c r="J38" s="508"/>
      <c r="K38" s="508"/>
      <c r="L38" s="474"/>
    </row>
    <row r="39" spans="1:12">
      <c r="A39" s="474"/>
      <c r="B39" s="518" t="s">
        <v>373</v>
      </c>
      <c r="C39" s="411">
        <f>(C4+C6+C5)*C2</f>
        <v>0</v>
      </c>
      <c r="D39" s="422"/>
      <c r="E39" s="413">
        <f t="shared" si="1"/>
        <v>0</v>
      </c>
      <c r="F39" s="414"/>
      <c r="G39" s="508"/>
      <c r="H39" s="508"/>
      <c r="I39" s="508"/>
      <c r="J39" s="508"/>
      <c r="K39" s="508"/>
      <c r="L39" s="474"/>
    </row>
    <row r="40" spans="1:12">
      <c r="A40" s="474"/>
      <c r="B40" s="520" t="s">
        <v>410</v>
      </c>
      <c r="C40" s="416">
        <f>C4+C6+C5</f>
        <v>0</v>
      </c>
      <c r="D40" s="422"/>
      <c r="E40" s="413">
        <f t="shared" si="1"/>
        <v>0</v>
      </c>
      <c r="F40" s="414"/>
      <c r="G40" s="508"/>
      <c r="H40" s="508"/>
      <c r="I40" s="508"/>
      <c r="J40" s="508"/>
      <c r="K40" s="508"/>
      <c r="L40" s="474"/>
    </row>
    <row r="41" spans="1:12">
      <c r="A41" s="474"/>
      <c r="B41" s="520" t="s">
        <v>478</v>
      </c>
      <c r="C41" s="416">
        <f>C6</f>
        <v>0</v>
      </c>
      <c r="D41" s="422"/>
      <c r="E41" s="413">
        <f t="shared" si="1"/>
        <v>0</v>
      </c>
      <c r="F41" s="414"/>
      <c r="G41" s="508"/>
      <c r="H41" s="508"/>
      <c r="I41" s="508"/>
      <c r="J41" s="508"/>
      <c r="K41" s="508"/>
      <c r="L41" s="474"/>
    </row>
    <row r="42" spans="1:12">
      <c r="A42" s="474"/>
      <c r="B42" s="520" t="s">
        <v>374</v>
      </c>
      <c r="C42" s="416">
        <f>C6</f>
        <v>0</v>
      </c>
      <c r="D42" s="422"/>
      <c r="E42" s="413">
        <f t="shared" si="1"/>
        <v>0</v>
      </c>
      <c r="F42" s="414"/>
      <c r="G42" s="508"/>
      <c r="H42" s="508"/>
      <c r="I42" s="508"/>
      <c r="J42" s="508"/>
      <c r="K42" s="508"/>
      <c r="L42" s="474"/>
    </row>
    <row r="43" spans="1:12">
      <c r="A43" s="474"/>
      <c r="B43" s="520" t="s">
        <v>375</v>
      </c>
      <c r="C43" s="416">
        <f>(C4+C6+C5)*2</f>
        <v>0</v>
      </c>
      <c r="D43" s="422"/>
      <c r="E43" s="413">
        <f t="shared" si="1"/>
        <v>0</v>
      </c>
      <c r="F43" s="414"/>
      <c r="G43" s="508"/>
      <c r="H43" s="508"/>
      <c r="I43" s="508"/>
      <c r="J43" s="508"/>
      <c r="K43" s="508"/>
      <c r="L43" s="474"/>
    </row>
    <row r="44" spans="1:12">
      <c r="A44" s="474"/>
      <c r="B44" s="520" t="s">
        <v>487</v>
      </c>
      <c r="C44" s="416">
        <f>(C4+C6)*C2</f>
        <v>0</v>
      </c>
      <c r="D44" s="422"/>
      <c r="E44" s="413">
        <f t="shared" si="1"/>
        <v>0</v>
      </c>
      <c r="F44" s="414"/>
      <c r="G44" s="508"/>
      <c r="H44" s="508"/>
      <c r="I44" s="508"/>
      <c r="J44" s="508"/>
      <c r="K44" s="508"/>
      <c r="L44" s="474"/>
    </row>
    <row r="45" spans="1:12">
      <c r="A45" s="474"/>
      <c r="B45" s="521" t="s">
        <v>461</v>
      </c>
      <c r="C45" s="468">
        <f>C5+C4</f>
        <v>0</v>
      </c>
      <c r="D45" s="422"/>
      <c r="E45" s="413">
        <f t="shared" si="1"/>
        <v>0</v>
      </c>
      <c r="F45" s="414"/>
      <c r="G45" s="508"/>
      <c r="H45" s="508"/>
      <c r="I45" s="508"/>
      <c r="J45" s="508"/>
      <c r="K45" s="508"/>
      <c r="L45" s="474"/>
    </row>
    <row r="46" spans="1:12">
      <c r="A46" s="474"/>
      <c r="B46" s="521" t="s">
        <v>382</v>
      </c>
      <c r="C46" s="468">
        <f>C8+C7*(C4+C5)</f>
        <v>0</v>
      </c>
      <c r="D46" s="422"/>
      <c r="E46" s="413">
        <f t="shared" si="1"/>
        <v>0</v>
      </c>
      <c r="F46" s="414"/>
      <c r="G46" s="508"/>
      <c r="H46" s="508"/>
      <c r="I46" s="508"/>
      <c r="J46" s="508"/>
      <c r="K46" s="508"/>
      <c r="L46" s="474"/>
    </row>
    <row r="47" spans="1:12">
      <c r="A47" s="474"/>
      <c r="B47" s="521" t="s">
        <v>503</v>
      </c>
      <c r="C47" s="468">
        <f>C8*C5</f>
        <v>0</v>
      </c>
      <c r="D47" s="422"/>
      <c r="E47" s="413">
        <f t="shared" si="1"/>
        <v>0</v>
      </c>
      <c r="F47" s="414"/>
      <c r="G47" s="508"/>
      <c r="H47" s="508"/>
      <c r="I47" s="508"/>
      <c r="J47" s="508"/>
      <c r="K47" s="508"/>
      <c r="L47" s="474"/>
    </row>
    <row r="48" spans="1:12">
      <c r="A48" s="474"/>
      <c r="B48" s="521" t="s">
        <v>384</v>
      </c>
      <c r="C48" s="468">
        <f>C9*C6</f>
        <v>0</v>
      </c>
      <c r="D48" s="422"/>
      <c r="E48" s="413">
        <f t="shared" si="1"/>
        <v>0</v>
      </c>
      <c r="F48" s="414"/>
      <c r="G48" s="508"/>
      <c r="H48" s="508"/>
      <c r="I48" s="508"/>
      <c r="J48" s="508"/>
      <c r="K48" s="508"/>
      <c r="L48" s="474"/>
    </row>
    <row r="49" spans="1:12">
      <c r="A49" s="474"/>
      <c r="B49" s="521" t="s">
        <v>385</v>
      </c>
      <c r="C49" s="468">
        <f>C9*C6</f>
        <v>0</v>
      </c>
      <c r="D49" s="422"/>
      <c r="E49" s="413">
        <f t="shared" si="1"/>
        <v>0</v>
      </c>
      <c r="F49" s="414"/>
      <c r="G49" s="508"/>
      <c r="H49" s="508"/>
      <c r="I49" s="508"/>
      <c r="J49" s="508"/>
      <c r="K49" s="508"/>
      <c r="L49" s="474"/>
    </row>
    <row r="50" spans="1:12">
      <c r="A50" s="474"/>
      <c r="B50" s="521" t="s">
        <v>387</v>
      </c>
      <c r="C50" s="468">
        <f>C11*C5</f>
        <v>0</v>
      </c>
      <c r="D50" s="422"/>
      <c r="E50" s="413">
        <f t="shared" si="1"/>
        <v>0</v>
      </c>
      <c r="F50" s="414"/>
      <c r="G50" s="508"/>
      <c r="H50" s="508"/>
      <c r="I50" s="508"/>
      <c r="J50" s="508"/>
      <c r="K50" s="508"/>
      <c r="L50" s="474"/>
    </row>
    <row r="51" spans="1:12">
      <c r="A51" s="474"/>
      <c r="B51" s="521" t="s">
        <v>536</v>
      </c>
      <c r="C51" s="468">
        <f>C11+C10*(C4+C5)</f>
        <v>0</v>
      </c>
      <c r="D51" s="422"/>
      <c r="E51" s="413">
        <f t="shared" si="1"/>
        <v>0</v>
      </c>
      <c r="F51" s="414"/>
      <c r="G51" s="508"/>
      <c r="H51" s="508"/>
      <c r="I51" s="508"/>
      <c r="J51" s="508"/>
      <c r="K51" s="508"/>
      <c r="L51" s="474"/>
    </row>
    <row r="52" spans="1:12" hidden="1">
      <c r="A52" s="474"/>
      <c r="B52" s="521" t="s">
        <v>535</v>
      </c>
      <c r="C52" s="468">
        <f>(C7+C10)*C4</f>
        <v>0</v>
      </c>
      <c r="D52" s="422"/>
      <c r="E52" s="413">
        <f t="shared" si="1"/>
        <v>0</v>
      </c>
      <c r="F52" s="414"/>
      <c r="G52" s="508"/>
      <c r="H52" s="508"/>
      <c r="I52" s="508"/>
      <c r="J52" s="508"/>
      <c r="K52" s="508"/>
      <c r="L52" s="474"/>
    </row>
    <row r="53" spans="1:12">
      <c r="A53" s="474"/>
      <c r="B53" s="521" t="s">
        <v>393</v>
      </c>
      <c r="C53" s="468">
        <f>C12*C6</f>
        <v>0</v>
      </c>
      <c r="D53" s="422"/>
      <c r="E53" s="413">
        <f t="shared" si="1"/>
        <v>0</v>
      </c>
      <c r="F53" s="414"/>
      <c r="G53" s="508"/>
      <c r="H53" s="508"/>
      <c r="I53" s="508"/>
      <c r="J53" s="508"/>
      <c r="K53" s="508"/>
      <c r="L53" s="474"/>
    </row>
    <row r="54" spans="1:12">
      <c r="A54" s="474"/>
      <c r="B54" s="180" t="s">
        <v>145</v>
      </c>
      <c r="C54" s="468">
        <f>C19</f>
        <v>0</v>
      </c>
      <c r="D54" s="791"/>
      <c r="E54" s="469">
        <f t="shared" si="1"/>
        <v>0</v>
      </c>
      <c r="F54" s="414"/>
      <c r="G54" s="508"/>
      <c r="H54" s="508"/>
      <c r="I54" s="508"/>
      <c r="J54" s="508"/>
      <c r="K54" s="508"/>
      <c r="L54" s="474"/>
    </row>
    <row r="55" spans="1:12">
      <c r="A55" s="474"/>
      <c r="B55" s="180" t="s">
        <v>148</v>
      </c>
      <c r="C55" s="468">
        <f>C18</f>
        <v>0</v>
      </c>
      <c r="D55" s="791"/>
      <c r="E55" s="469">
        <f t="shared" si="1"/>
        <v>0</v>
      </c>
      <c r="F55" s="414"/>
      <c r="G55" s="508"/>
      <c r="H55" s="508"/>
      <c r="I55" s="508"/>
      <c r="J55" s="508"/>
      <c r="K55" s="508"/>
      <c r="L55" s="474"/>
    </row>
    <row r="56" spans="1:12">
      <c r="A56" s="474"/>
      <c r="B56" s="27" t="s">
        <v>696</v>
      </c>
      <c r="C56" s="468">
        <f>C20</f>
        <v>0</v>
      </c>
      <c r="D56" s="791"/>
      <c r="E56" s="469">
        <f t="shared" si="1"/>
        <v>0</v>
      </c>
      <c r="F56" s="414"/>
      <c r="G56" s="508"/>
      <c r="H56" s="508"/>
      <c r="I56" s="508"/>
      <c r="J56" s="508"/>
      <c r="K56" s="508"/>
      <c r="L56" s="474"/>
    </row>
    <row r="57" spans="1:12" ht="12" thickBot="1">
      <c r="A57" s="474"/>
      <c r="B57" s="523" t="s">
        <v>394</v>
      </c>
      <c r="C57" s="471">
        <f>C12*C6</f>
        <v>0</v>
      </c>
      <c r="D57" s="542"/>
      <c r="E57" s="473">
        <f t="shared" si="1"/>
        <v>0</v>
      </c>
      <c r="F57" s="414"/>
      <c r="G57" s="508"/>
      <c r="H57" s="508"/>
      <c r="I57" s="508"/>
      <c r="J57" s="508"/>
      <c r="K57" s="508"/>
      <c r="L57" s="474"/>
    </row>
    <row r="58" spans="1:12" ht="13.5" thickBot="1">
      <c r="A58" s="474"/>
      <c r="B58" s="508"/>
      <c r="C58" s="508"/>
      <c r="D58" s="524" t="s">
        <v>9</v>
      </c>
      <c r="E58" s="543">
        <f>SUMIF(E24:E57,"&gt;0",E24:E57)</f>
        <v>0</v>
      </c>
      <c r="F58" s="568"/>
      <c r="G58" s="508"/>
      <c r="H58" s="522"/>
      <c r="I58" s="508"/>
      <c r="J58" s="508"/>
      <c r="K58" s="508"/>
      <c r="L58" s="474"/>
    </row>
    <row r="59" spans="1:12" ht="11.25" customHeight="1">
      <c r="A59" s="474"/>
      <c r="B59" s="508"/>
      <c r="C59" s="508"/>
      <c r="D59" s="508"/>
      <c r="E59" s="508"/>
      <c r="F59" s="508"/>
      <c r="G59" s="474"/>
      <c r="H59" s="474"/>
      <c r="I59" s="474"/>
      <c r="J59" s="474"/>
      <c r="K59" s="474"/>
      <c r="L59" s="474"/>
    </row>
    <row r="60" spans="1:12" ht="11.25" customHeight="1">
      <c r="A60" s="474"/>
      <c r="B60" s="474"/>
      <c r="C60" s="474"/>
      <c r="D60" s="474"/>
      <c r="E60" s="474"/>
      <c r="F60" s="474"/>
      <c r="G60" s="474"/>
      <c r="H60" s="474"/>
      <c r="I60" s="474"/>
      <c r="J60" s="474"/>
      <c r="K60" s="474"/>
      <c r="L60" s="474"/>
    </row>
    <row r="61" spans="1:12" ht="11.25" customHeight="1">
      <c r="A61" s="474"/>
      <c r="B61" s="474"/>
      <c r="C61" s="474"/>
      <c r="D61" s="474"/>
      <c r="E61" s="474"/>
      <c r="F61" s="474"/>
      <c r="G61" s="474"/>
      <c r="H61" s="474"/>
      <c r="I61" s="474"/>
      <c r="J61" s="474"/>
      <c r="K61" s="474"/>
      <c r="L61" s="474"/>
    </row>
    <row r="62" spans="1:12" ht="11.25" customHeight="1">
      <c r="A62" s="474"/>
      <c r="B62" s="474"/>
      <c r="C62" s="474"/>
      <c r="D62" s="474"/>
      <c r="E62" s="474"/>
      <c r="F62" s="474"/>
      <c r="G62" s="474"/>
      <c r="H62" s="474"/>
      <c r="I62" s="474"/>
      <c r="J62" s="474"/>
      <c r="K62" s="474"/>
      <c r="L62" s="474"/>
    </row>
    <row r="63" spans="1:12" ht="11.25" customHeight="1">
      <c r="A63" s="474"/>
      <c r="B63" s="474"/>
      <c r="C63" s="474"/>
      <c r="D63" s="474"/>
      <c r="E63" s="474"/>
      <c r="F63" s="474"/>
      <c r="G63" s="474"/>
      <c r="H63" s="474"/>
      <c r="I63" s="474"/>
      <c r="J63" s="474"/>
      <c r="K63" s="474"/>
      <c r="L63" s="474"/>
    </row>
    <row r="64" spans="1:12" ht="11.25" customHeight="1">
      <c r="A64" s="474"/>
      <c r="B64" s="474"/>
      <c r="C64" s="474"/>
      <c r="D64" s="474"/>
      <c r="E64" s="474"/>
      <c r="F64" s="474"/>
      <c r="G64" s="474"/>
      <c r="H64" s="474"/>
      <c r="I64" s="474"/>
      <c r="J64" s="474"/>
      <c r="K64" s="474"/>
      <c r="L64" s="474"/>
    </row>
    <row r="65" spans="2:6" ht="11.25" customHeight="1">
      <c r="B65" s="474"/>
      <c r="C65" s="474"/>
      <c r="D65" s="474"/>
      <c r="E65" s="474"/>
      <c r="F65" s="474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462" priority="11" operator="equal">
      <formula>"ДА"</formula>
    </cfRule>
    <cfRule type="cellIs" dxfId="461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460" priority="14" operator="greaterThan">
      <formula>0</formula>
    </cfRule>
  </conditionalFormatting>
  <conditionalFormatting sqref="C13">
    <cfRule type="cellIs" dxfId="459" priority="10" operator="greaterThan">
      <formula>0</formula>
    </cfRule>
  </conditionalFormatting>
  <conditionalFormatting sqref="C2:C13 C15:C17">
    <cfRule type="cellIs" dxfId="458" priority="9" operator="greaterThan">
      <formula>0</formula>
    </cfRule>
  </conditionalFormatting>
  <conditionalFormatting sqref="C57:E57 C25:E53">
    <cfRule type="cellIs" dxfId="457" priority="8" operator="greaterThan">
      <formula>0</formula>
    </cfRule>
  </conditionalFormatting>
  <conditionalFormatting sqref="E58">
    <cfRule type="cellIs" dxfId="456" priority="5" operator="greaterThan">
      <formula>0</formula>
    </cfRule>
    <cfRule type="cellIs" dxfId="455" priority="6" operator="greaterThan">
      <formula>0</formula>
    </cfRule>
    <cfRule type="cellIs" dxfId="454" priority="7" operator="greaterThan">
      <formula>0</formula>
    </cfRule>
  </conditionalFormatting>
  <conditionalFormatting sqref="C18:C20">
    <cfRule type="cellIs" dxfId="453" priority="4" operator="greaterThan">
      <formula>0</formula>
    </cfRule>
  </conditionalFormatting>
  <conditionalFormatting sqref="C54:C56">
    <cfRule type="cellIs" dxfId="452" priority="2" operator="greaterThan">
      <formula>0</formula>
    </cfRule>
  </conditionalFormatting>
  <conditionalFormatting sqref="C54:E56">
    <cfRule type="cellIs" dxfId="451" priority="3" operator="greaterThan">
      <formula>0</formula>
    </cfRule>
  </conditionalFormatting>
  <conditionalFormatting sqref="C14">
    <cfRule type="cellIs" dxfId="45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H42" sqref="H42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74"/>
      <c r="B1" s="1114"/>
      <c r="C1" s="1115"/>
      <c r="D1" s="1115"/>
      <c r="E1" s="1114"/>
      <c r="F1" s="1115"/>
      <c r="G1" s="1115"/>
      <c r="H1" s="1114"/>
      <c r="I1" s="1115"/>
      <c r="J1" s="1115"/>
      <c r="K1" s="1114"/>
      <c r="L1" s="1115"/>
      <c r="M1" s="1115"/>
      <c r="N1" s="1050"/>
      <c r="O1" s="1042"/>
      <c r="P1" s="1042"/>
    </row>
    <row r="2" spans="1:16" ht="11.25" customHeight="1" thickBot="1">
      <c r="A2" s="474"/>
      <c r="B2" s="476" t="s">
        <v>10</v>
      </c>
      <c r="C2" s="527">
        <v>0</v>
      </c>
      <c r="D2" s="1116" t="s">
        <v>602</v>
      </c>
      <c r="E2" s="1117"/>
      <c r="F2" s="1118"/>
      <c r="G2" s="553"/>
      <c r="H2" s="478" t="s">
        <v>492</v>
      </c>
      <c r="I2" s="479" t="s">
        <v>611</v>
      </c>
      <c r="J2" s="545" t="s">
        <v>4</v>
      </c>
      <c r="K2" s="546" t="s">
        <v>8</v>
      </c>
      <c r="L2" s="474"/>
      <c r="M2" s="474"/>
    </row>
    <row r="3" spans="1:16" ht="12.75" thickBot="1">
      <c r="A3" s="474"/>
      <c r="B3" s="481" t="s">
        <v>1</v>
      </c>
      <c r="C3" s="528">
        <v>0</v>
      </c>
      <c r="D3" s="1119"/>
      <c r="E3" s="1120"/>
      <c r="F3" s="1121"/>
      <c r="G3" s="474"/>
      <c r="H3" s="482" t="s">
        <v>379</v>
      </c>
      <c r="I3" s="483" t="str">
        <f>IF(AND($C$7+$C$8=1,$C$9+$C$10+$C$11+$C$12=0,$C$13=2),"ДА","НЕТ")</f>
        <v>НЕТ</v>
      </c>
      <c r="J3" s="387"/>
      <c r="K3" s="388">
        <f>IF(I3="ДА",($C$4+$C$5+$C$6)*J3,0)</f>
        <v>0</v>
      </c>
      <c r="L3" s="474"/>
      <c r="M3" s="474"/>
    </row>
    <row r="4" spans="1:16" ht="12" customHeight="1">
      <c r="A4" s="474"/>
      <c r="B4" s="488" t="s">
        <v>537</v>
      </c>
      <c r="C4" s="531">
        <v>0</v>
      </c>
      <c r="D4" s="1116" t="s">
        <v>604</v>
      </c>
      <c r="E4" s="1117"/>
      <c r="F4" s="1139"/>
      <c r="G4" s="555"/>
      <c r="H4" s="485" t="s">
        <v>380</v>
      </c>
      <c r="I4" s="483" t="str">
        <f>IF(AND($C$7+$C$8=1,$C$9+$C$10+$C$11+$C$12=0,$C$13=2),"ДА","НЕТ")</f>
        <v>НЕТ</v>
      </c>
      <c r="J4" s="464"/>
      <c r="K4" s="388">
        <f t="shared" ref="K4:K21" si="0">IF(I4="ДА",($C$4+$C$5+$C$6)*J4,0)</f>
        <v>0</v>
      </c>
      <c r="L4" s="474"/>
      <c r="M4" s="474"/>
    </row>
    <row r="5" spans="1:16" ht="12">
      <c r="A5" s="474"/>
      <c r="B5" s="488" t="s">
        <v>403</v>
      </c>
      <c r="C5" s="531">
        <v>0</v>
      </c>
      <c r="D5" s="1136"/>
      <c r="E5" s="1122"/>
      <c r="F5" s="1140"/>
      <c r="G5" s="474"/>
      <c r="H5" s="485" t="s">
        <v>381</v>
      </c>
      <c r="I5" s="483" t="str">
        <f>IF(AND($C$7+$C$8=1,$C$9+$C$10+$C$11+$C$12=0,$C$13=2),"ДА","НЕТ")</f>
        <v>НЕТ</v>
      </c>
      <c r="J5" s="464"/>
      <c r="K5" s="388">
        <f t="shared" si="0"/>
        <v>0</v>
      </c>
      <c r="L5" s="474"/>
      <c r="M5" s="474"/>
    </row>
    <row r="6" spans="1:16" ht="12.75" thickBot="1">
      <c r="A6" s="474"/>
      <c r="B6" s="583" t="s">
        <v>399</v>
      </c>
      <c r="C6" s="582">
        <v>0</v>
      </c>
      <c r="D6" s="1136"/>
      <c r="E6" s="1122"/>
      <c r="F6" s="1140"/>
      <c r="G6" s="474"/>
      <c r="H6" s="487" t="s">
        <v>383</v>
      </c>
      <c r="I6" s="483" t="str">
        <f>IF(AND($C$7+$C$8=1,$C$9+$C$10+$C$11+$C$12=0,$C$13=3),"ДА","НЕТ")</f>
        <v>НЕТ</v>
      </c>
      <c r="J6" s="391"/>
      <c r="K6" s="388">
        <f t="shared" si="0"/>
        <v>0</v>
      </c>
      <c r="L6" s="474"/>
      <c r="M6" s="474"/>
    </row>
    <row r="7" spans="1:16" ht="12" customHeight="1">
      <c r="A7" s="474"/>
      <c r="B7" s="476" t="s">
        <v>528</v>
      </c>
      <c r="C7" s="533">
        <v>0</v>
      </c>
      <c r="D7" s="489" t="s">
        <v>294</v>
      </c>
      <c r="E7" s="490" t="s">
        <v>256</v>
      </c>
      <c r="F7" s="1124" t="s">
        <v>603</v>
      </c>
      <c r="G7" s="474"/>
      <c r="H7" s="485" t="s">
        <v>496</v>
      </c>
      <c r="I7" s="483" t="str">
        <f>IF(AND($C$9=1,$C$7+$C$8+$C$10+$C$11+$C$12=0,$C$13=1),"ДА","НЕТ")</f>
        <v>НЕТ</v>
      </c>
      <c r="J7" s="464"/>
      <c r="K7" s="388">
        <f t="shared" si="0"/>
        <v>0</v>
      </c>
      <c r="L7" s="474"/>
      <c r="M7" s="474"/>
    </row>
    <row r="8" spans="1:16" ht="12">
      <c r="A8" s="474"/>
      <c r="B8" s="488" t="s">
        <v>497</v>
      </c>
      <c r="C8" s="531">
        <v>0</v>
      </c>
      <c r="D8" s="493" t="s">
        <v>294</v>
      </c>
      <c r="E8" s="494" t="s">
        <v>256</v>
      </c>
      <c r="F8" s="1125"/>
      <c r="G8" s="592"/>
      <c r="H8" s="487" t="s">
        <v>493</v>
      </c>
      <c r="I8" s="483" t="str">
        <f>IF(AND($C$9=1,$C$7+$C$8+$C$10+$C$11+$C$12=0,$C$13=3),"ДА","НЕТ")</f>
        <v>НЕТ</v>
      </c>
      <c r="J8" s="391"/>
      <c r="K8" s="388">
        <f t="shared" si="0"/>
        <v>0</v>
      </c>
      <c r="L8" s="474"/>
      <c r="M8" s="474"/>
    </row>
    <row r="9" spans="1:16" ht="12">
      <c r="A9" s="474"/>
      <c r="B9" s="486" t="s">
        <v>498</v>
      </c>
      <c r="C9" s="530">
        <v>0</v>
      </c>
      <c r="D9" s="493" t="s">
        <v>294</v>
      </c>
      <c r="E9" s="493" t="s">
        <v>256</v>
      </c>
      <c r="F9" s="1125"/>
      <c r="G9" s="592"/>
      <c r="H9" s="487" t="s">
        <v>494</v>
      </c>
      <c r="I9" s="483" t="str">
        <f>IF(AND($C$9=1,$C$7+$C$8+$C$10+$C$11+$C$12=0,$C$13=2),"ДА","НЕТ")</f>
        <v>НЕТ</v>
      </c>
      <c r="J9" s="391"/>
      <c r="K9" s="388">
        <f t="shared" si="0"/>
        <v>0</v>
      </c>
      <c r="L9" s="474"/>
      <c r="M9" s="474"/>
    </row>
    <row r="10" spans="1:16" ht="12">
      <c r="A10" s="474"/>
      <c r="B10" s="488" t="s">
        <v>529</v>
      </c>
      <c r="C10" s="531">
        <v>0</v>
      </c>
      <c r="D10" s="491" t="s">
        <v>294</v>
      </c>
      <c r="E10" s="492" t="s">
        <v>256</v>
      </c>
      <c r="F10" s="1125"/>
      <c r="G10" s="592"/>
      <c r="H10" s="487" t="s">
        <v>495</v>
      </c>
      <c r="I10" s="483" t="str">
        <f>IF(AND($C$9=1,$C$7+$C$8+$C$10+$C$11+$C$12=0,$C$13=2),"ДА","НЕТ")</f>
        <v>НЕТ</v>
      </c>
      <c r="J10" s="391"/>
      <c r="K10" s="388">
        <f t="shared" si="0"/>
        <v>0</v>
      </c>
      <c r="L10" s="474"/>
      <c r="M10" s="474"/>
    </row>
    <row r="11" spans="1:16" ht="12">
      <c r="A11" s="474"/>
      <c r="B11" s="488" t="s">
        <v>499</v>
      </c>
      <c r="C11" s="531">
        <v>0</v>
      </c>
      <c r="D11" s="493" t="s">
        <v>294</v>
      </c>
      <c r="E11" s="494" t="s">
        <v>256</v>
      </c>
      <c r="F11" s="1125"/>
      <c r="G11" s="474"/>
      <c r="H11" s="487" t="s">
        <v>501</v>
      </c>
      <c r="I11" s="483" t="str">
        <f>IF(AND($C$9=1,$C$7+$C$8+$C$10+$C$11+$C$12=0,$C$13=2),"ДА","НЕТ")</f>
        <v>НЕТ</v>
      </c>
      <c r="J11" s="391"/>
      <c r="K11" s="388">
        <f t="shared" si="0"/>
        <v>0</v>
      </c>
      <c r="L11" s="474"/>
      <c r="M11" s="474"/>
    </row>
    <row r="12" spans="1:16" ht="12.75" thickBot="1">
      <c r="A12" s="474"/>
      <c r="B12" s="481" t="s">
        <v>500</v>
      </c>
      <c r="C12" s="532">
        <v>0</v>
      </c>
      <c r="D12" s="556" t="s">
        <v>294</v>
      </c>
      <c r="E12" s="557" t="s">
        <v>256</v>
      </c>
      <c r="F12" s="1126"/>
      <c r="G12" s="474"/>
      <c r="H12" s="487" t="s">
        <v>633</v>
      </c>
      <c r="I12" s="483" t="str">
        <f>IF(AND($C$10=1,$C$8+$C$9+$C$7+$C$11+$C$12=0,$C$13=2),"ДА","НЕТ")</f>
        <v>НЕТ</v>
      </c>
      <c r="J12" s="391"/>
      <c r="K12" s="388">
        <f t="shared" si="0"/>
        <v>0</v>
      </c>
      <c r="L12" s="474"/>
      <c r="M12" s="474"/>
    </row>
    <row r="13" spans="1:16" ht="12.75" thickBot="1">
      <c r="A13" s="474"/>
      <c r="B13" s="583" t="s">
        <v>596</v>
      </c>
      <c r="C13" s="582">
        <v>0</v>
      </c>
      <c r="D13" s="584" t="s">
        <v>626</v>
      </c>
      <c r="E13" s="585" t="s">
        <v>627</v>
      </c>
      <c r="F13" s="586" t="s">
        <v>628</v>
      </c>
      <c r="G13" s="474"/>
      <c r="H13" s="487" t="s">
        <v>525</v>
      </c>
      <c r="I13" s="483" t="str">
        <f>IF(AND($C$10=1,$C$8+$C$9+$C$7+$C$11+$C$12=0,$C$13=2),"ДА","НЕТ")</f>
        <v>НЕТ</v>
      </c>
      <c r="J13" s="391"/>
      <c r="K13" s="388">
        <f t="shared" si="0"/>
        <v>0</v>
      </c>
      <c r="L13" s="474"/>
      <c r="M13" s="474"/>
    </row>
    <row r="14" spans="1:16" ht="12" customHeight="1">
      <c r="A14" s="474"/>
      <c r="B14" s="476" t="s">
        <v>404</v>
      </c>
      <c r="C14" s="533">
        <v>0</v>
      </c>
      <c r="D14" s="489" t="s">
        <v>294</v>
      </c>
      <c r="E14" s="490" t="s">
        <v>256</v>
      </c>
      <c r="F14" s="1137" t="s">
        <v>604</v>
      </c>
      <c r="G14" s="474"/>
      <c r="H14" s="487" t="s">
        <v>526</v>
      </c>
      <c r="I14" s="483" t="str">
        <f>IF(AND($C$10=1,$C$8+$C$9+$C$7+$C$11+$C$12=0,$C$13=1),"ДА","НЕТ")</f>
        <v>НЕТ</v>
      </c>
      <c r="J14" s="391"/>
      <c r="K14" s="388">
        <f t="shared" si="0"/>
        <v>0</v>
      </c>
      <c r="L14" s="474"/>
      <c r="M14" s="474"/>
    </row>
    <row r="15" spans="1:16" ht="12.75" thickBot="1">
      <c r="A15" s="474"/>
      <c r="B15" s="481" t="s">
        <v>405</v>
      </c>
      <c r="C15" s="532">
        <v>0</v>
      </c>
      <c r="D15" s="556" t="s">
        <v>294</v>
      </c>
      <c r="E15" s="557" t="s">
        <v>256</v>
      </c>
      <c r="F15" s="1138"/>
      <c r="G15" s="474"/>
      <c r="H15" s="485" t="s">
        <v>386</v>
      </c>
      <c r="I15" s="483" t="str">
        <f>IF(AND($C$11=1,$C$7+$C$9+$C$10+$C$8+$C$12=0,$C$13=2),"ДА","НЕТ")</f>
        <v>НЕТ</v>
      </c>
      <c r="J15" s="394"/>
      <c r="K15" s="388">
        <f t="shared" si="0"/>
        <v>0</v>
      </c>
      <c r="L15" s="474"/>
      <c r="M15" s="474"/>
    </row>
    <row r="16" spans="1:16" ht="12.75" thickBot="1">
      <c r="A16" s="474"/>
      <c r="B16" s="509" t="s">
        <v>411</v>
      </c>
      <c r="C16" s="535">
        <v>0</v>
      </c>
      <c r="D16" s="593" t="s">
        <v>416</v>
      </c>
      <c r="E16" s="497" t="s">
        <v>417</v>
      </c>
      <c r="F16" s="538"/>
      <c r="G16" s="474"/>
      <c r="H16" s="482" t="s">
        <v>388</v>
      </c>
      <c r="I16" s="483" t="str">
        <f>IF(AND($C$11=1,$C$7+$C$9+$C$10+$C$8+$C$12=0,$C$13=1),"ДА","НЕТ")</f>
        <v>НЕТ</v>
      </c>
      <c r="J16" s="394"/>
      <c r="K16" s="388">
        <f t="shared" si="0"/>
        <v>0</v>
      </c>
      <c r="L16" s="474"/>
      <c r="M16" s="474"/>
    </row>
    <row r="17" spans="1:13" ht="12">
      <c r="A17" s="558"/>
      <c r="B17" s="476" t="s">
        <v>147</v>
      </c>
      <c r="C17" s="533">
        <v>0</v>
      </c>
      <c r="D17" s="1127" t="s">
        <v>693</v>
      </c>
      <c r="E17" s="1128"/>
      <c r="F17" s="1129"/>
      <c r="G17" s="474"/>
      <c r="H17" s="482" t="s">
        <v>389</v>
      </c>
      <c r="I17" s="483" t="str">
        <f>IF(AND($C$11=1,$C$7+$C$9+$C$10+$C$8+$C$12=0,$C$13=3),"ДА","НЕТ")</f>
        <v>НЕТ</v>
      </c>
      <c r="J17" s="394"/>
      <c r="K17" s="388">
        <f t="shared" si="0"/>
        <v>0</v>
      </c>
      <c r="L17" s="474"/>
      <c r="M17" s="474"/>
    </row>
    <row r="18" spans="1:13" ht="12">
      <c r="A18" s="558"/>
      <c r="B18" s="486" t="s">
        <v>146</v>
      </c>
      <c r="C18" s="530">
        <v>0</v>
      </c>
      <c r="D18" s="1130" t="s">
        <v>694</v>
      </c>
      <c r="E18" s="1131"/>
      <c r="F18" s="1132"/>
      <c r="G18" s="474"/>
      <c r="H18" s="482" t="s">
        <v>390</v>
      </c>
      <c r="I18" s="483" t="str">
        <f>IF(AND($C$12=1,$C$7+$C$8+$C$9+$C$10+$C$11=0,$C$13=1),"ДА","НЕТ")</f>
        <v>НЕТ</v>
      </c>
      <c r="J18" s="394"/>
      <c r="K18" s="388">
        <f t="shared" si="0"/>
        <v>0</v>
      </c>
      <c r="L18" s="474"/>
      <c r="M18" s="474"/>
    </row>
    <row r="19" spans="1:13" ht="12.75" thickBot="1">
      <c r="A19" s="558"/>
      <c r="B19" s="481" t="s">
        <v>143</v>
      </c>
      <c r="C19" s="532">
        <v>0</v>
      </c>
      <c r="D19" s="1133" t="s">
        <v>695</v>
      </c>
      <c r="E19" s="1134"/>
      <c r="F19" s="1135"/>
      <c r="G19" s="474"/>
      <c r="H19" s="485" t="s">
        <v>391</v>
      </c>
      <c r="I19" s="483" t="str">
        <f>IF(AND($C$12=1,$C$7+$C$8+$C$9+$C$10+$C$11=0,$C$13=1),"ДА","НЕТ")</f>
        <v>НЕТ</v>
      </c>
      <c r="J19" s="394"/>
      <c r="K19" s="388">
        <f t="shared" si="0"/>
        <v>0</v>
      </c>
      <c r="L19" s="474"/>
      <c r="M19" s="474"/>
    </row>
    <row r="20" spans="1:13" ht="12">
      <c r="A20" s="558"/>
      <c r="B20" s="511"/>
      <c r="C20" s="511"/>
      <c r="D20" s="511"/>
      <c r="E20" s="510"/>
      <c r="F20" s="508"/>
      <c r="G20" s="474"/>
      <c r="H20" s="482" t="s">
        <v>395</v>
      </c>
      <c r="I20" s="483" t="str">
        <f>IF(AND($C$12=1,$C$7+$C$8+$C$9+$C$10+$C$11=0,$C$13=2),"ДА","НЕТ")</f>
        <v>НЕТ</v>
      </c>
      <c r="J20" s="394"/>
      <c r="K20" s="388">
        <f t="shared" si="0"/>
        <v>0</v>
      </c>
      <c r="L20" s="474"/>
      <c r="M20" s="474"/>
    </row>
    <row r="21" spans="1:13" ht="12.75" thickBot="1">
      <c r="A21" s="558"/>
      <c r="B21" s="511"/>
      <c r="C21" s="511"/>
      <c r="D21" s="511"/>
      <c r="E21" s="510"/>
      <c r="F21" s="508"/>
      <c r="G21" s="474"/>
      <c r="H21" s="506" t="s">
        <v>396</v>
      </c>
      <c r="I21" s="507" t="str">
        <f>IF(AND($C$12=1,$C$7+$C$8+$C$9+$C$10+$C$11=0,$C$13=2),"ДА","НЕТ")</f>
        <v>НЕТ</v>
      </c>
      <c r="J21" s="401"/>
      <c r="K21" s="544">
        <f t="shared" si="0"/>
        <v>0</v>
      </c>
      <c r="L21" s="474"/>
      <c r="M21" s="474"/>
    </row>
    <row r="22" spans="1:13" ht="12.75">
      <c r="A22" s="474"/>
      <c r="B22" s="513" t="s">
        <v>5</v>
      </c>
      <c r="C22" s="514" t="s">
        <v>0</v>
      </c>
      <c r="D22" s="515" t="s">
        <v>4</v>
      </c>
      <c r="E22" s="516" t="s">
        <v>8</v>
      </c>
      <c r="F22" s="510"/>
      <c r="G22" s="474"/>
      <c r="H22" s="474"/>
      <c r="I22" s="474"/>
      <c r="J22" s="474"/>
      <c r="K22" s="474"/>
      <c r="L22" s="474"/>
      <c r="M22" s="474"/>
    </row>
    <row r="23" spans="1:13">
      <c r="A23" s="474"/>
      <c r="B23" s="518" t="s">
        <v>406</v>
      </c>
      <c r="C23" s="411">
        <f>C14*2*(C4+C5+C6)</f>
        <v>0</v>
      </c>
      <c r="D23" s="422"/>
      <c r="E23" s="413">
        <f>C23*D23</f>
        <v>0</v>
      </c>
      <c r="F23" s="508"/>
      <c r="G23" s="474"/>
      <c r="H23" s="474"/>
      <c r="I23" s="474"/>
      <c r="J23" s="474"/>
      <c r="K23" s="474"/>
      <c r="L23" s="474"/>
      <c r="M23" s="474"/>
    </row>
    <row r="24" spans="1:13">
      <c r="A24" s="474"/>
      <c r="B24" s="518" t="s">
        <v>407</v>
      </c>
      <c r="C24" s="411">
        <f>C15*(C4+C5+C6)</f>
        <v>0</v>
      </c>
      <c r="D24" s="422"/>
      <c r="E24" s="413">
        <f t="shared" ref="E24:E57" si="1">C24*D24</f>
        <v>0</v>
      </c>
      <c r="F24" s="511"/>
      <c r="G24" s="474"/>
      <c r="H24" s="474"/>
      <c r="I24" s="474"/>
      <c r="J24" s="474"/>
      <c r="K24" s="474"/>
      <c r="L24" s="474"/>
      <c r="M24" s="474"/>
    </row>
    <row r="25" spans="1:13">
      <c r="A25" s="474"/>
      <c r="B25" s="520" t="s">
        <v>486</v>
      </c>
      <c r="C25" s="416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422"/>
      <c r="E25" s="413">
        <f t="shared" si="1"/>
        <v>0</v>
      </c>
      <c r="F25" s="508"/>
      <c r="G25" s="474"/>
      <c r="H25" s="474"/>
      <c r="I25" s="474"/>
      <c r="J25" s="474"/>
      <c r="K25" s="474"/>
      <c r="L25" s="474"/>
      <c r="M25" s="474"/>
    </row>
    <row r="26" spans="1:13">
      <c r="A26" s="474"/>
      <c r="B26" s="520" t="s">
        <v>728</v>
      </c>
      <c r="C26" s="416">
        <f>(C4+C5+C6)*2</f>
        <v>0</v>
      </c>
      <c r="D26" s="422"/>
      <c r="E26" s="413">
        <f t="shared" si="1"/>
        <v>0</v>
      </c>
      <c r="F26" s="508"/>
      <c r="G26" s="474"/>
      <c r="H26" s="474"/>
      <c r="I26" s="474"/>
      <c r="J26" s="474"/>
      <c r="K26" s="474"/>
      <c r="L26" s="474"/>
      <c r="M26" s="474"/>
    </row>
    <row r="27" spans="1:13">
      <c r="A27" s="474"/>
      <c r="B27" s="520" t="s">
        <v>484</v>
      </c>
      <c r="C27" s="416">
        <f>(C4+C6+C5)*C2</f>
        <v>0</v>
      </c>
      <c r="D27" s="422"/>
      <c r="E27" s="413">
        <f t="shared" si="1"/>
        <v>0</v>
      </c>
      <c r="F27" s="510"/>
      <c r="G27" s="474"/>
      <c r="H27" s="474"/>
      <c r="I27" s="474"/>
      <c r="J27" s="474"/>
      <c r="K27" s="474"/>
      <c r="L27" s="474"/>
      <c r="M27" s="474"/>
    </row>
    <row r="28" spans="1:13">
      <c r="A28" s="474"/>
      <c r="B28" s="518" t="s">
        <v>481</v>
      </c>
      <c r="C28" s="411">
        <f>C5*C2</f>
        <v>0</v>
      </c>
      <c r="D28" s="422"/>
      <c r="E28" s="413">
        <f t="shared" si="1"/>
        <v>0</v>
      </c>
      <c r="F28" s="508"/>
      <c r="G28" s="474"/>
      <c r="H28" s="474"/>
      <c r="I28" s="474"/>
      <c r="J28" s="474"/>
      <c r="K28" s="474"/>
      <c r="L28" s="474"/>
      <c r="M28" s="474"/>
    </row>
    <row r="29" spans="1:13">
      <c r="A29" s="474"/>
      <c r="B29" s="520" t="s">
        <v>408</v>
      </c>
      <c r="C29" s="416">
        <f>(C14+C15)*C2*(C4+C5+C6)</f>
        <v>0</v>
      </c>
      <c r="D29" s="422"/>
      <c r="E29" s="413">
        <f t="shared" si="1"/>
        <v>0</v>
      </c>
      <c r="F29" s="508"/>
      <c r="G29" s="474"/>
      <c r="H29" s="474"/>
      <c r="I29" s="474"/>
      <c r="J29" s="474"/>
      <c r="K29" s="474"/>
      <c r="L29" s="474"/>
      <c r="M29" s="474"/>
    </row>
    <row r="30" spans="1:13">
      <c r="A30" s="474"/>
      <c r="B30" s="520" t="s">
        <v>409</v>
      </c>
      <c r="C30" s="416">
        <f>C15*C2*(C4+C5+C6)</f>
        <v>0</v>
      </c>
      <c r="D30" s="422"/>
      <c r="E30" s="413">
        <f t="shared" si="1"/>
        <v>0</v>
      </c>
      <c r="F30" s="511"/>
      <c r="G30" s="474"/>
      <c r="H30" s="474"/>
      <c r="I30" s="474"/>
      <c r="J30" s="474"/>
      <c r="K30" s="474"/>
      <c r="L30" s="474"/>
      <c r="M30" s="474"/>
    </row>
    <row r="31" spans="1:13">
      <c r="A31" s="474"/>
      <c r="B31" s="520" t="s">
        <v>532</v>
      </c>
      <c r="C31" s="416">
        <f>C4*C2</f>
        <v>0</v>
      </c>
      <c r="D31" s="422"/>
      <c r="E31" s="413">
        <f>C31*D31</f>
        <v>0</v>
      </c>
      <c r="F31" s="511"/>
      <c r="G31" s="474"/>
      <c r="H31" s="474"/>
      <c r="I31" s="474"/>
      <c r="J31" s="474"/>
      <c r="K31" s="474"/>
      <c r="L31" s="474"/>
      <c r="M31" s="474"/>
    </row>
    <row r="32" spans="1:13">
      <c r="A32" s="474"/>
      <c r="B32" s="518" t="s">
        <v>458</v>
      </c>
      <c r="C32" s="416">
        <f>C2*C5</f>
        <v>0</v>
      </c>
      <c r="D32" s="422"/>
      <c r="E32" s="413">
        <f t="shared" si="1"/>
        <v>0</v>
      </c>
      <c r="F32" s="511"/>
      <c r="G32" s="474"/>
      <c r="H32" s="474"/>
      <c r="I32" s="474"/>
      <c r="J32" s="474"/>
      <c r="K32" s="474"/>
      <c r="L32" s="474"/>
      <c r="M32" s="474"/>
    </row>
    <row r="33" spans="1:13">
      <c r="A33" s="474"/>
      <c r="B33" s="518" t="s">
        <v>457</v>
      </c>
      <c r="C33" s="411">
        <f>C2*C6</f>
        <v>0</v>
      </c>
      <c r="D33" s="422"/>
      <c r="E33" s="413">
        <f t="shared" si="1"/>
        <v>0</v>
      </c>
      <c r="F33" s="511"/>
      <c r="G33" s="474"/>
      <c r="H33" s="474"/>
      <c r="I33" s="474"/>
      <c r="J33" s="474"/>
      <c r="K33" s="474"/>
      <c r="L33" s="474"/>
      <c r="M33" s="474"/>
    </row>
    <row r="34" spans="1:13">
      <c r="A34" s="474"/>
      <c r="B34" s="520" t="s">
        <v>836</v>
      </c>
      <c r="C34" s="416">
        <f>C6+C5+C4</f>
        <v>0</v>
      </c>
      <c r="D34" s="422"/>
      <c r="E34" s="413">
        <f t="shared" si="1"/>
        <v>0</v>
      </c>
      <c r="F34" s="508"/>
      <c r="G34" s="474"/>
      <c r="H34" s="474"/>
      <c r="I34" s="474"/>
      <c r="J34" s="474"/>
      <c r="K34" s="474"/>
      <c r="L34" s="474"/>
      <c r="M34" s="474"/>
    </row>
    <row r="35" spans="1:13">
      <c r="A35" s="474"/>
      <c r="B35" s="520" t="s">
        <v>482</v>
      </c>
      <c r="C35" s="416">
        <f>C6</f>
        <v>0</v>
      </c>
      <c r="D35" s="422"/>
      <c r="E35" s="413">
        <f t="shared" si="1"/>
        <v>0</v>
      </c>
      <c r="F35" s="508"/>
      <c r="G35" s="474"/>
      <c r="H35" s="474"/>
      <c r="I35" s="474"/>
      <c r="J35" s="474"/>
      <c r="K35" s="474"/>
      <c r="L35" s="474"/>
      <c r="M35" s="474"/>
    </row>
    <row r="36" spans="1:13">
      <c r="A36" s="474"/>
      <c r="B36" s="520" t="s">
        <v>374</v>
      </c>
      <c r="C36" s="416">
        <f>C5</f>
        <v>0</v>
      </c>
      <c r="D36" s="422"/>
      <c r="E36" s="413">
        <f t="shared" si="1"/>
        <v>0</v>
      </c>
      <c r="F36" s="508"/>
      <c r="G36" s="474"/>
      <c r="H36" s="474"/>
      <c r="I36" s="474"/>
      <c r="J36" s="474"/>
      <c r="K36" s="474"/>
      <c r="L36" s="474"/>
      <c r="M36" s="474"/>
    </row>
    <row r="37" spans="1:13">
      <c r="A37" s="474"/>
      <c r="B37" s="520" t="s">
        <v>487</v>
      </c>
      <c r="C37" s="416">
        <f>(C4+C6)*C2</f>
        <v>0</v>
      </c>
      <c r="D37" s="422"/>
      <c r="E37" s="413">
        <f t="shared" si="1"/>
        <v>0</v>
      </c>
      <c r="F37" s="508"/>
      <c r="G37" s="474"/>
      <c r="H37" s="474"/>
      <c r="I37" s="474"/>
      <c r="J37" s="474"/>
      <c r="K37" s="474"/>
      <c r="L37" s="474"/>
      <c r="M37" s="474"/>
    </row>
    <row r="38" spans="1:13">
      <c r="A38" s="474"/>
      <c r="B38" s="520" t="s">
        <v>375</v>
      </c>
      <c r="C38" s="416">
        <f>(C4+C6+C5)*4</f>
        <v>0</v>
      </c>
      <c r="D38" s="422"/>
      <c r="E38" s="413">
        <f t="shared" si="1"/>
        <v>0</v>
      </c>
      <c r="F38" s="508"/>
      <c r="G38" s="474"/>
      <c r="H38" s="474"/>
      <c r="I38" s="474"/>
      <c r="J38" s="474"/>
      <c r="K38" s="474"/>
      <c r="L38" s="474"/>
      <c r="M38" s="474"/>
    </row>
    <row r="39" spans="1:13">
      <c r="A39" s="474"/>
      <c r="B39" s="521" t="s">
        <v>461</v>
      </c>
      <c r="C39" s="468">
        <f>C5+C4</f>
        <v>0</v>
      </c>
      <c r="D39" s="422"/>
      <c r="E39" s="469">
        <f t="shared" si="1"/>
        <v>0</v>
      </c>
      <c r="F39" s="508"/>
      <c r="G39" s="474"/>
      <c r="H39" s="474"/>
      <c r="I39" s="474"/>
      <c r="J39" s="474"/>
      <c r="K39" s="474"/>
      <c r="L39" s="474"/>
      <c r="M39" s="474"/>
    </row>
    <row r="40" spans="1:13">
      <c r="A40" s="474"/>
      <c r="B40" s="521" t="s">
        <v>382</v>
      </c>
      <c r="C40" s="468">
        <f>(C7+C8)*(C4+C5)</f>
        <v>0</v>
      </c>
      <c r="D40" s="422"/>
      <c r="E40" s="469">
        <f t="shared" si="1"/>
        <v>0</v>
      </c>
      <c r="F40" s="508"/>
      <c r="G40" s="474"/>
      <c r="H40" s="474"/>
      <c r="I40" s="474"/>
      <c r="J40" s="474"/>
      <c r="K40" s="474"/>
      <c r="L40" s="474"/>
      <c r="M40" s="474"/>
    </row>
    <row r="41" spans="1:13">
      <c r="A41" s="474"/>
      <c r="B41" s="521" t="s">
        <v>504</v>
      </c>
      <c r="C41" s="468">
        <f>C8*C5</f>
        <v>0</v>
      </c>
      <c r="D41" s="422"/>
      <c r="E41" s="469">
        <f t="shared" si="1"/>
        <v>0</v>
      </c>
      <c r="F41" s="508"/>
      <c r="G41" s="474"/>
      <c r="H41" s="474"/>
      <c r="I41" s="474"/>
      <c r="J41" s="474"/>
      <c r="K41" s="474"/>
      <c r="L41" s="474"/>
      <c r="M41" s="474"/>
    </row>
    <row r="42" spans="1:13">
      <c r="A42" s="474"/>
      <c r="B42" s="521" t="s">
        <v>384</v>
      </c>
      <c r="C42" s="468">
        <f>C9*C6</f>
        <v>0</v>
      </c>
      <c r="D42" s="422"/>
      <c r="E42" s="469">
        <f t="shared" si="1"/>
        <v>0</v>
      </c>
      <c r="F42" s="508"/>
      <c r="G42" s="474"/>
      <c r="H42" s="474"/>
      <c r="I42" s="474"/>
      <c r="J42" s="474"/>
      <c r="K42" s="474"/>
      <c r="L42" s="474"/>
      <c r="M42" s="474"/>
    </row>
    <row r="43" spans="1:13">
      <c r="A43" s="474"/>
      <c r="B43" s="521" t="s">
        <v>385</v>
      </c>
      <c r="C43" s="468">
        <f>C9*C6</f>
        <v>0</v>
      </c>
      <c r="D43" s="422"/>
      <c r="E43" s="469">
        <f t="shared" si="1"/>
        <v>0</v>
      </c>
      <c r="F43" s="508"/>
      <c r="G43" s="474"/>
      <c r="H43" s="474"/>
      <c r="I43" s="474"/>
      <c r="J43" s="474"/>
      <c r="K43" s="474"/>
      <c r="L43" s="474"/>
      <c r="M43" s="474"/>
    </row>
    <row r="44" spans="1:13">
      <c r="A44" s="474"/>
      <c r="B44" s="521" t="s">
        <v>387</v>
      </c>
      <c r="C44" s="468">
        <f>C11*C5</f>
        <v>0</v>
      </c>
      <c r="D44" s="422"/>
      <c r="E44" s="469">
        <f t="shared" si="1"/>
        <v>0</v>
      </c>
      <c r="F44" s="508"/>
      <c r="G44" s="474"/>
      <c r="H44" s="474"/>
      <c r="I44" s="474"/>
      <c r="J44" s="474"/>
      <c r="K44" s="474"/>
      <c r="L44" s="474"/>
      <c r="M44" s="474"/>
    </row>
    <row r="45" spans="1:13">
      <c r="A45" s="474"/>
      <c r="B45" s="521" t="s">
        <v>536</v>
      </c>
      <c r="C45" s="468">
        <f>(C10+C11)*(C4+C5)</f>
        <v>0</v>
      </c>
      <c r="D45" s="422"/>
      <c r="E45" s="469">
        <f t="shared" si="1"/>
        <v>0</v>
      </c>
      <c r="F45" s="508"/>
      <c r="G45" s="474"/>
      <c r="H45" s="474"/>
      <c r="I45" s="474"/>
      <c r="J45" s="474"/>
      <c r="K45" s="474"/>
      <c r="L45" s="474"/>
      <c r="M45" s="474"/>
    </row>
    <row r="46" spans="1:13">
      <c r="A46" s="474"/>
      <c r="B46" s="521" t="s">
        <v>393</v>
      </c>
      <c r="C46" s="468">
        <f>C12*C6</f>
        <v>0</v>
      </c>
      <c r="D46" s="422"/>
      <c r="E46" s="469">
        <f t="shared" si="1"/>
        <v>0</v>
      </c>
      <c r="F46" s="508"/>
      <c r="G46" s="474"/>
      <c r="H46" s="474"/>
      <c r="I46" s="474"/>
      <c r="J46" s="474"/>
      <c r="K46" s="474"/>
      <c r="L46" s="474"/>
      <c r="M46" s="474"/>
    </row>
    <row r="47" spans="1:13" hidden="1">
      <c r="A47" s="474"/>
      <c r="B47" s="521" t="s">
        <v>535</v>
      </c>
      <c r="C47" s="468">
        <f>(C7+C10)*C4</f>
        <v>0</v>
      </c>
      <c r="D47" s="422"/>
      <c r="E47" s="469">
        <f>C47*D47</f>
        <v>0</v>
      </c>
      <c r="F47" s="508"/>
      <c r="G47" s="474"/>
      <c r="H47" s="474"/>
      <c r="I47" s="474"/>
      <c r="J47" s="474"/>
      <c r="K47" s="474"/>
      <c r="L47" s="474"/>
      <c r="M47" s="474"/>
    </row>
    <row r="48" spans="1:13">
      <c r="A48" s="474"/>
      <c r="B48" s="521" t="s">
        <v>394</v>
      </c>
      <c r="C48" s="468">
        <f>C12*C6</f>
        <v>0</v>
      </c>
      <c r="D48" s="422"/>
      <c r="E48" s="469">
        <f t="shared" si="1"/>
        <v>0</v>
      </c>
      <c r="F48" s="508"/>
      <c r="G48" s="474"/>
      <c r="H48" s="474"/>
      <c r="I48" s="474"/>
      <c r="J48" s="474"/>
      <c r="K48" s="474"/>
      <c r="L48" s="474"/>
      <c r="M48" s="474"/>
    </row>
    <row r="49" spans="1:13">
      <c r="A49" s="474"/>
      <c r="B49" s="520" t="s">
        <v>637</v>
      </c>
      <c r="C49" s="416">
        <f>C2*(C4+C5+C6)</f>
        <v>0</v>
      </c>
      <c r="D49" s="417"/>
      <c r="E49" s="413">
        <f t="shared" si="1"/>
        <v>0</v>
      </c>
      <c r="F49" s="508"/>
      <c r="G49" s="474"/>
      <c r="H49" s="474"/>
      <c r="I49" s="474"/>
      <c r="J49" s="474"/>
      <c r="K49" s="474"/>
      <c r="L49" s="474"/>
      <c r="M49" s="474"/>
    </row>
    <row r="50" spans="1:13">
      <c r="A50" s="474"/>
      <c r="B50" s="594" t="s">
        <v>638</v>
      </c>
      <c r="C50" s="575">
        <f>C2*(C4+C5+C6)</f>
        <v>0</v>
      </c>
      <c r="D50" s="422"/>
      <c r="E50" s="469">
        <f t="shared" si="1"/>
        <v>0</v>
      </c>
      <c r="F50" s="508"/>
      <c r="G50" s="474"/>
      <c r="H50" s="474"/>
      <c r="I50" s="474"/>
      <c r="J50" s="474"/>
      <c r="K50" s="474"/>
      <c r="L50" s="474"/>
      <c r="M50" s="474"/>
    </row>
    <row r="51" spans="1:13">
      <c r="A51" s="474"/>
      <c r="B51" s="594" t="s">
        <v>639</v>
      </c>
      <c r="C51" s="575">
        <f>C5+C6+C4</f>
        <v>0</v>
      </c>
      <c r="D51" s="422"/>
      <c r="E51" s="469">
        <f t="shared" si="1"/>
        <v>0</v>
      </c>
      <c r="F51" s="508"/>
      <c r="G51" s="474"/>
      <c r="H51" s="474"/>
      <c r="I51" s="474"/>
      <c r="J51" s="474"/>
      <c r="K51" s="474"/>
      <c r="L51" s="474"/>
      <c r="M51" s="474"/>
    </row>
    <row r="52" spans="1:13">
      <c r="A52" s="474"/>
      <c r="B52" s="594" t="s">
        <v>640</v>
      </c>
      <c r="C52" s="575">
        <f>C4+C5+C6</f>
        <v>0</v>
      </c>
      <c r="D52" s="422"/>
      <c r="E52" s="469">
        <f t="shared" si="1"/>
        <v>0</v>
      </c>
      <c r="F52" s="508"/>
      <c r="G52" s="474"/>
      <c r="H52" s="474"/>
      <c r="I52" s="474"/>
      <c r="J52" s="474"/>
      <c r="K52" s="474"/>
      <c r="L52" s="474"/>
      <c r="M52" s="474"/>
    </row>
    <row r="53" spans="1:13">
      <c r="A53" s="474"/>
      <c r="B53" s="594" t="s">
        <v>462</v>
      </c>
      <c r="C53" s="575">
        <f>(C4+C5+C6)*2</f>
        <v>0</v>
      </c>
      <c r="D53" s="422"/>
      <c r="E53" s="469">
        <f t="shared" si="1"/>
        <v>0</v>
      </c>
      <c r="F53" s="508"/>
      <c r="G53" s="474"/>
      <c r="H53" s="474"/>
      <c r="I53" s="474"/>
      <c r="J53" s="474"/>
      <c r="K53" s="474"/>
      <c r="L53" s="474"/>
      <c r="M53" s="474"/>
    </row>
    <row r="54" spans="1:13">
      <c r="A54" s="474"/>
      <c r="B54" s="594" t="s">
        <v>145</v>
      </c>
      <c r="C54" s="575">
        <f>C18</f>
        <v>0</v>
      </c>
      <c r="D54" s="591"/>
      <c r="E54" s="469">
        <f t="shared" si="1"/>
        <v>0</v>
      </c>
      <c r="F54" s="508"/>
      <c r="G54" s="474"/>
      <c r="H54" s="474"/>
      <c r="I54" s="474"/>
      <c r="J54" s="474"/>
      <c r="K54" s="474"/>
      <c r="L54" s="474"/>
      <c r="M54" s="474"/>
    </row>
    <row r="55" spans="1:13">
      <c r="A55" s="474"/>
      <c r="B55" s="594" t="s">
        <v>148</v>
      </c>
      <c r="C55" s="575">
        <f>C17</f>
        <v>0</v>
      </c>
      <c r="D55" s="591"/>
      <c r="E55" s="469">
        <f t="shared" si="1"/>
        <v>0</v>
      </c>
      <c r="F55" s="508"/>
      <c r="G55" s="474"/>
      <c r="H55" s="474"/>
      <c r="I55" s="474"/>
      <c r="J55" s="474"/>
      <c r="K55" s="474"/>
      <c r="L55" s="474"/>
      <c r="M55" s="474"/>
    </row>
    <row r="56" spans="1:13">
      <c r="A56" s="474"/>
      <c r="B56" s="594" t="s">
        <v>696</v>
      </c>
      <c r="C56" s="575">
        <f>C19</f>
        <v>0</v>
      </c>
      <c r="D56" s="591"/>
      <c r="E56" s="469">
        <f t="shared" si="1"/>
        <v>0</v>
      </c>
      <c r="F56" s="508"/>
      <c r="G56" s="474"/>
      <c r="H56" s="474"/>
      <c r="I56" s="474"/>
      <c r="J56" s="474"/>
      <c r="K56" s="474"/>
      <c r="L56" s="474"/>
      <c r="M56" s="474"/>
    </row>
    <row r="57" spans="1:13" ht="12" thickBot="1">
      <c r="A57" s="474"/>
      <c r="B57" s="595" t="s">
        <v>641</v>
      </c>
      <c r="C57" s="577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542"/>
      <c r="E57" s="473">
        <f t="shared" si="1"/>
        <v>0</v>
      </c>
      <c r="F57" s="508"/>
      <c r="G57" s="474"/>
      <c r="H57" s="474"/>
      <c r="I57" s="474"/>
      <c r="J57" s="474"/>
      <c r="K57" s="474"/>
      <c r="L57" s="474"/>
      <c r="M57" s="474"/>
    </row>
    <row r="58" spans="1:13" ht="13.5" thickBot="1">
      <c r="A58" s="474"/>
      <c r="B58" s="508"/>
      <c r="C58" s="508"/>
      <c r="D58" s="524" t="s">
        <v>9</v>
      </c>
      <c r="E58" s="596">
        <f>SUMIF(E23:E57,"&gt;0",E23:E57)</f>
        <v>0</v>
      </c>
      <c r="F58" s="522"/>
      <c r="G58" s="592"/>
      <c r="H58" s="474"/>
      <c r="I58" s="474"/>
      <c r="J58" s="474"/>
      <c r="K58" s="474"/>
      <c r="L58" s="474"/>
      <c r="M58" s="474"/>
    </row>
    <row r="59" spans="1:13" ht="12" customHeight="1">
      <c r="A59" s="474"/>
      <c r="B59" s="474"/>
      <c r="C59" s="474"/>
      <c r="D59" s="474"/>
      <c r="E59" s="474"/>
      <c r="F59" s="474"/>
      <c r="G59" s="474"/>
      <c r="H59" s="474"/>
      <c r="I59" s="474"/>
      <c r="J59" s="474"/>
      <c r="K59" s="474"/>
      <c r="L59" s="474"/>
      <c r="M59" s="474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K1:M1"/>
    <mergeCell ref="N1:P1"/>
    <mergeCell ref="D2:F3"/>
    <mergeCell ref="D4:F6"/>
    <mergeCell ref="F7:F12"/>
    <mergeCell ref="D18:F18"/>
    <mergeCell ref="D19:F19"/>
    <mergeCell ref="B1:D1"/>
    <mergeCell ref="E1:G1"/>
    <mergeCell ref="H1:J1"/>
    <mergeCell ref="F14:F15"/>
    <mergeCell ref="D17:F17"/>
  </mergeCells>
  <conditionalFormatting sqref="C13">
    <cfRule type="cellIs" dxfId="449" priority="9" operator="greaterThan">
      <formula>0</formula>
    </cfRule>
  </conditionalFormatting>
  <conditionalFormatting sqref="C13">
    <cfRule type="cellIs" dxfId="448" priority="10" operator="greaterThan">
      <formula>0</formula>
    </cfRule>
  </conditionalFormatting>
  <conditionalFormatting sqref="C2:C16">
    <cfRule type="cellIs" dxfId="447" priority="8" operator="greaterThan">
      <formula>0</formula>
    </cfRule>
  </conditionalFormatting>
  <conditionalFormatting sqref="C23:E57">
    <cfRule type="cellIs" dxfId="446" priority="7" operator="greaterThan">
      <formula>0</formula>
    </cfRule>
  </conditionalFormatting>
  <conditionalFormatting sqref="E58">
    <cfRule type="cellIs" dxfId="445" priority="6" operator="greaterThan">
      <formula>0</formula>
    </cfRule>
  </conditionalFormatting>
  <conditionalFormatting sqref="I3:I21">
    <cfRule type="cellIs" dxfId="444" priority="2" operator="equal">
      <formula>"ДА"</formula>
    </cfRule>
    <cfRule type="cellIs" dxfId="443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442" priority="5" operator="greaterThan">
      <formula>0</formula>
    </cfRule>
  </conditionalFormatting>
  <conditionalFormatting sqref="C17:C19">
    <cfRule type="cellIs" dxfId="44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49" activePane="bottomLeft" state="frozen"/>
      <selection pane="bottomLeft" activeCell="H64" sqref="H64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050"/>
      <c r="C1" s="1042"/>
      <c r="D1" s="1042"/>
    </row>
    <row r="2" spans="2:13" ht="11.25" customHeight="1" thickBot="1">
      <c r="B2" s="569" t="s">
        <v>10</v>
      </c>
      <c r="C2" s="527">
        <v>0</v>
      </c>
      <c r="D2" s="1116" t="s">
        <v>602</v>
      </c>
      <c r="E2" s="1117"/>
      <c r="F2" s="1118"/>
      <c r="G2" s="143"/>
      <c r="H2" s="478" t="s">
        <v>492</v>
      </c>
      <c r="I2" s="479" t="s">
        <v>611</v>
      </c>
      <c r="J2" s="545" t="s">
        <v>4</v>
      </c>
      <c r="K2" s="546" t="s">
        <v>8</v>
      </c>
    </row>
    <row r="3" spans="2:13" ht="12.75" thickBot="1">
      <c r="B3" s="570" t="s">
        <v>1</v>
      </c>
      <c r="C3" s="528">
        <v>0</v>
      </c>
      <c r="D3" s="1119"/>
      <c r="E3" s="1120"/>
      <c r="F3" s="1121"/>
      <c r="H3" s="640" t="s">
        <v>379</v>
      </c>
      <c r="I3" s="641" t="str">
        <f>IF(AND($C$7+$C$8=1,$C$9+$C$10+$C$11+$C$12=0,$C$13=2),"ДА","НЕТ")</f>
        <v>НЕТ</v>
      </c>
      <c r="J3" s="642"/>
      <c r="K3" s="643">
        <f>IF(I3="ДА",($C$4+$C$5+$C$6)*J3,0)</f>
        <v>0</v>
      </c>
    </row>
    <row r="4" spans="2:13" ht="12" customHeight="1">
      <c r="B4" s="569" t="s">
        <v>537</v>
      </c>
      <c r="C4" s="533">
        <v>0</v>
      </c>
      <c r="D4" s="1116" t="s">
        <v>604</v>
      </c>
      <c r="E4" s="1117"/>
      <c r="F4" s="1139"/>
      <c r="G4" s="311"/>
      <c r="H4" s="485" t="s">
        <v>380</v>
      </c>
      <c r="I4" s="483" t="str">
        <f>IF(AND($C$7+$C$8=1,$C$9+$C$10+$C$11+$C$12=0,$C$13=2),"ДА","НЕТ")</f>
        <v>НЕТ</v>
      </c>
      <c r="J4" s="464"/>
      <c r="K4" s="388">
        <f t="shared" ref="K4:K21" si="0">IF(I4="ДА",($C$4+$C$5+$C$6)*J4,0)</f>
        <v>0</v>
      </c>
    </row>
    <row r="5" spans="2:13" ht="12">
      <c r="B5" s="571" t="s">
        <v>403</v>
      </c>
      <c r="C5" s="531">
        <v>0</v>
      </c>
      <c r="D5" s="1136"/>
      <c r="E5" s="1122"/>
      <c r="F5" s="1140"/>
      <c r="G5" s="311"/>
      <c r="H5" s="485" t="s">
        <v>381</v>
      </c>
      <c r="I5" s="483" t="str">
        <f>IF(AND($C$7+$C$8=1,$C$9+$C$10+$C$11+$C$12=0,$C$13=2),"ДА","НЕТ")</f>
        <v>НЕТ</v>
      </c>
      <c r="J5" s="464"/>
      <c r="K5" s="388">
        <f t="shared" si="0"/>
        <v>0</v>
      </c>
    </row>
    <row r="6" spans="2:13" ht="12.75" thickBot="1">
      <c r="B6" s="572" t="s">
        <v>399</v>
      </c>
      <c r="C6" s="535">
        <v>0</v>
      </c>
      <c r="D6" s="1136"/>
      <c r="E6" s="1122"/>
      <c r="F6" s="1140"/>
      <c r="H6" s="487" t="s">
        <v>383</v>
      </c>
      <c r="I6" s="483" t="str">
        <f>IF(AND($C$7+$C$8=1,$C$9+$C$10+$C$11+$C$12=0,$C$13=3),"ДА","НЕТ")</f>
        <v>НЕТ</v>
      </c>
      <c r="J6" s="391"/>
      <c r="K6" s="388">
        <f t="shared" si="0"/>
        <v>0</v>
      </c>
    </row>
    <row r="7" spans="2:13" ht="12" customHeight="1">
      <c r="B7" s="569" t="s">
        <v>528</v>
      </c>
      <c r="C7" s="533">
        <v>0</v>
      </c>
      <c r="D7" s="579" t="s">
        <v>294</v>
      </c>
      <c r="E7" s="433" t="s">
        <v>256</v>
      </c>
      <c r="F7" s="1124" t="s">
        <v>603</v>
      </c>
      <c r="H7" s="485" t="s">
        <v>496</v>
      </c>
      <c r="I7" s="483" t="str">
        <f>IF(AND($C$9=1,$C$7+$C$8+$C$10+$C$11+$C$12=0,$C$13=1),"ДА","НЕТ")</f>
        <v>НЕТ</v>
      </c>
      <c r="J7" s="464"/>
      <c r="K7" s="388">
        <f t="shared" si="0"/>
        <v>0</v>
      </c>
    </row>
    <row r="8" spans="2:13" ht="12">
      <c r="B8" s="571" t="s">
        <v>497</v>
      </c>
      <c r="C8" s="531">
        <v>0</v>
      </c>
      <c r="D8" s="436" t="s">
        <v>294</v>
      </c>
      <c r="E8" s="435" t="s">
        <v>256</v>
      </c>
      <c r="F8" s="1125"/>
      <c r="H8" s="487" t="s">
        <v>493</v>
      </c>
      <c r="I8" s="483" t="str">
        <f>IF(AND($C$9=1,$C$7+$C$8+$C$10+$C$11+$C$12=0,$C$13=3),"ДА","НЕТ")</f>
        <v>НЕТ</v>
      </c>
      <c r="J8" s="391"/>
      <c r="K8" s="388">
        <f t="shared" si="0"/>
        <v>0</v>
      </c>
    </row>
    <row r="9" spans="2:13" ht="12">
      <c r="B9" s="587" t="s">
        <v>498</v>
      </c>
      <c r="C9" s="530">
        <v>0</v>
      </c>
      <c r="D9" s="436" t="s">
        <v>294</v>
      </c>
      <c r="E9" s="435" t="s">
        <v>256</v>
      </c>
      <c r="F9" s="1125"/>
      <c r="G9" s="312"/>
      <c r="H9" s="487" t="s">
        <v>494</v>
      </c>
      <c r="I9" s="483" t="str">
        <f>IF(AND($C$9=1,$C$7+$C$8+$C$10+$C$11+$C$12=0,$C$13=2),"ДА","НЕТ")</f>
        <v>НЕТ</v>
      </c>
      <c r="J9" s="391"/>
      <c r="K9" s="388">
        <f t="shared" si="0"/>
        <v>0</v>
      </c>
    </row>
    <row r="10" spans="2:13" ht="12">
      <c r="B10" s="571" t="s">
        <v>529</v>
      </c>
      <c r="C10" s="531">
        <v>0</v>
      </c>
      <c r="D10" s="580" t="s">
        <v>294</v>
      </c>
      <c r="E10" s="438" t="s">
        <v>256</v>
      </c>
      <c r="F10" s="1125"/>
      <c r="G10" s="312"/>
      <c r="H10" s="487" t="s">
        <v>495</v>
      </c>
      <c r="I10" s="483" t="str">
        <f>IF(AND($C$9=1,$C$7+$C$8+$C$10+$C$11+$C$12=0,$C$13=2),"ДА","НЕТ")</f>
        <v>НЕТ</v>
      </c>
      <c r="J10" s="391"/>
      <c r="K10" s="388">
        <f t="shared" si="0"/>
        <v>0</v>
      </c>
    </row>
    <row r="11" spans="2:13" ht="12">
      <c r="B11" s="571" t="s">
        <v>499</v>
      </c>
      <c r="C11" s="531">
        <v>0</v>
      </c>
      <c r="D11" s="436" t="s">
        <v>294</v>
      </c>
      <c r="E11" s="435" t="s">
        <v>256</v>
      </c>
      <c r="F11" s="1125"/>
      <c r="G11" s="312"/>
      <c r="H11" s="487" t="s">
        <v>501</v>
      </c>
      <c r="I11" s="483" t="str">
        <f>IF(AND($C$9=1,$C$7+$C$8+$C$10+$C$11+$C$12=0,$C$13=2),"ДА","НЕТ")</f>
        <v>НЕТ</v>
      </c>
      <c r="J11" s="391"/>
      <c r="K11" s="388">
        <f t="shared" si="0"/>
        <v>0</v>
      </c>
      <c r="L11" s="312"/>
      <c r="M11" s="312"/>
    </row>
    <row r="12" spans="2:13" ht="12.75" thickBot="1">
      <c r="B12" s="597" t="s">
        <v>500</v>
      </c>
      <c r="C12" s="541">
        <v>0</v>
      </c>
      <c r="D12" s="598" t="s">
        <v>294</v>
      </c>
      <c r="E12" s="588" t="s">
        <v>256</v>
      </c>
      <c r="F12" s="1125"/>
      <c r="H12" s="487" t="s">
        <v>633</v>
      </c>
      <c r="I12" s="483" t="str">
        <f>IF(AND($C$10=1,$C$8+$C$9+$C$7+$C$11+$C$12=0,$C$13=2),"ДА","НЕТ")</f>
        <v>НЕТ</v>
      </c>
      <c r="J12" s="391"/>
      <c r="K12" s="388">
        <f t="shared" si="0"/>
        <v>0</v>
      </c>
      <c r="L12" s="312"/>
      <c r="M12" s="312"/>
    </row>
    <row r="13" spans="2:13" ht="12.75" thickBot="1">
      <c r="B13" s="498" t="s">
        <v>596</v>
      </c>
      <c r="C13" s="534">
        <v>0</v>
      </c>
      <c r="D13" s="540" t="s">
        <v>626</v>
      </c>
      <c r="E13" s="503" t="s">
        <v>627</v>
      </c>
      <c r="F13" s="505" t="s">
        <v>628</v>
      </c>
      <c r="H13" s="487" t="s">
        <v>525</v>
      </c>
      <c r="I13" s="483" t="str">
        <f>IF(AND($C$10=1,$C$8+$C$9+$C$7+$C$11+$C$12=0,$C$13=2),"ДА","НЕТ")</f>
        <v>НЕТ</v>
      </c>
      <c r="J13" s="391"/>
      <c r="K13" s="388">
        <f t="shared" si="0"/>
        <v>0</v>
      </c>
      <c r="L13" s="312"/>
      <c r="M13" s="312"/>
    </row>
    <row r="14" spans="2:13" ht="12.75" thickBot="1">
      <c r="B14" s="581" t="s">
        <v>400</v>
      </c>
      <c r="C14" s="582">
        <v>0</v>
      </c>
      <c r="D14" s="599" t="s">
        <v>401</v>
      </c>
      <c r="E14" s="444" t="s">
        <v>402</v>
      </c>
      <c r="F14" s="627"/>
      <c r="H14" s="487" t="s">
        <v>526</v>
      </c>
      <c r="I14" s="483" t="str">
        <f>IF(AND($C$10=1,$C$8+$C$9+$C$7+$C$11+$C$12=0,$C$13=1),"ДА","НЕТ")</f>
        <v>НЕТ</v>
      </c>
      <c r="J14" s="391"/>
      <c r="K14" s="388">
        <f t="shared" si="0"/>
        <v>0</v>
      </c>
      <c r="L14" s="312"/>
      <c r="M14" s="312"/>
    </row>
    <row r="15" spans="2:13" ht="12.75" thickBot="1">
      <c r="B15" s="573" t="s">
        <v>538</v>
      </c>
      <c r="C15" s="534">
        <v>0</v>
      </c>
      <c r="D15" s="589" t="s">
        <v>294</v>
      </c>
      <c r="E15" s="442" t="s">
        <v>256</v>
      </c>
      <c r="F15" s="539" t="s">
        <v>675</v>
      </c>
      <c r="H15" s="485" t="s">
        <v>386</v>
      </c>
      <c r="I15" s="483" t="str">
        <f>IF(AND($C$11=1,$C$7+$C$9+$C$10+$C$8+$C$12=0,$C$13=2),"ДА","НЕТ")</f>
        <v>НЕТ</v>
      </c>
      <c r="J15" s="394"/>
      <c r="K15" s="388">
        <f>IF(I15="ДА",($C$4+$C$5+$C$6)*J15,0)</f>
        <v>0</v>
      </c>
    </row>
    <row r="16" spans="2:13" ht="12.75" thickBot="1">
      <c r="B16" s="572" t="s">
        <v>488</v>
      </c>
      <c r="C16" s="535">
        <v>0</v>
      </c>
      <c r="D16" s="590" t="s">
        <v>294</v>
      </c>
      <c r="E16" s="440" t="s">
        <v>256</v>
      </c>
      <c r="F16" s="628"/>
      <c r="H16" s="482" t="s">
        <v>388</v>
      </c>
      <c r="I16" s="483" t="str">
        <f>IF(AND($C$11=1,$C$7+$C$9+$C$10+$C$8+$C$12=0,$C$13=1),"ДА","НЕТ")</f>
        <v>НЕТ</v>
      </c>
      <c r="J16" s="394"/>
      <c r="K16" s="388">
        <f t="shared" si="0"/>
        <v>0</v>
      </c>
    </row>
    <row r="17" spans="1:11" ht="12.75" thickBot="1">
      <c r="B17" s="572" t="s">
        <v>419</v>
      </c>
      <c r="C17" s="535">
        <v>0</v>
      </c>
      <c r="D17" s="590" t="s">
        <v>294</v>
      </c>
      <c r="E17" s="440" t="s">
        <v>256</v>
      </c>
      <c r="F17" s="539" t="s">
        <v>632</v>
      </c>
      <c r="H17" s="482" t="s">
        <v>389</v>
      </c>
      <c r="I17" s="483" t="str">
        <f>IF(AND($C$11=1,$C$7+$C$9+$C$10+$C$8+$C$12=0,$C$13=3),"ДА","НЕТ")</f>
        <v>НЕТ</v>
      </c>
      <c r="J17" s="394"/>
      <c r="K17" s="388">
        <f t="shared" si="0"/>
        <v>0</v>
      </c>
    </row>
    <row r="18" spans="1:11" ht="12.75" customHeight="1">
      <c r="B18" s="571" t="s">
        <v>368</v>
      </c>
      <c r="C18" s="531">
        <v>0</v>
      </c>
      <c r="D18" s="579" t="s">
        <v>294</v>
      </c>
      <c r="E18" s="433" t="s">
        <v>256</v>
      </c>
      <c r="F18" s="1124" t="s">
        <v>604</v>
      </c>
      <c r="H18" s="482" t="s">
        <v>390</v>
      </c>
      <c r="I18" s="483" t="str">
        <f>IF(AND($C$12=1,$C$7+$C$8+$C$9+$C$10+$C$11=0,$C$13=1),"ДА","НЕТ")</f>
        <v>НЕТ</v>
      </c>
      <c r="J18" s="394"/>
      <c r="K18" s="388">
        <f t="shared" si="0"/>
        <v>0</v>
      </c>
    </row>
    <row r="19" spans="1:11" ht="12">
      <c r="B19" s="587" t="s">
        <v>369</v>
      </c>
      <c r="C19" s="530">
        <v>0</v>
      </c>
      <c r="D19" s="436" t="s">
        <v>294</v>
      </c>
      <c r="E19" s="435" t="s">
        <v>256</v>
      </c>
      <c r="F19" s="1125"/>
      <c r="H19" s="485" t="s">
        <v>391</v>
      </c>
      <c r="I19" s="483" t="str">
        <f>IF(AND($C$12=1,$C$7+$C$8+$C$9+$C$10+$C$11=0,$C$13=1),"ДА","НЕТ")</f>
        <v>НЕТ</v>
      </c>
      <c r="J19" s="394"/>
      <c r="K19" s="388">
        <f t="shared" si="0"/>
        <v>0</v>
      </c>
    </row>
    <row r="20" spans="1:11" ht="12">
      <c r="B20" s="587" t="s">
        <v>474</v>
      </c>
      <c r="C20" s="530">
        <v>0</v>
      </c>
      <c r="D20" s="436" t="s">
        <v>294</v>
      </c>
      <c r="E20" s="435" t="s">
        <v>256</v>
      </c>
      <c r="F20" s="1125"/>
      <c r="H20" s="482" t="s">
        <v>395</v>
      </c>
      <c r="I20" s="483" t="str">
        <f>IF(AND($C$12=1,$C$7+$C$8+$C$9+$C$10+$C$11=0,$C$13=2),"ДА","НЕТ")</f>
        <v>НЕТ</v>
      </c>
      <c r="J20" s="394"/>
      <c r="K20" s="388">
        <f t="shared" si="0"/>
        <v>0</v>
      </c>
    </row>
    <row r="21" spans="1:11" ht="12.75" thickBot="1">
      <c r="B21" s="587" t="s">
        <v>473</v>
      </c>
      <c r="C21" s="530">
        <v>0</v>
      </c>
      <c r="D21" s="590" t="s">
        <v>294</v>
      </c>
      <c r="E21" s="440" t="s">
        <v>256</v>
      </c>
      <c r="F21" s="1126"/>
      <c r="H21" s="506" t="s">
        <v>396</v>
      </c>
      <c r="I21" s="507" t="str">
        <f>IF(AND($C$12=1,$C$7+$C$8+$C$9+$C$10+$C$11=0,$C$13=2),"ДА","НЕТ")</f>
        <v>НЕТ</v>
      </c>
      <c r="J21" s="401"/>
      <c r="K21" s="544">
        <f t="shared" si="0"/>
        <v>0</v>
      </c>
    </row>
    <row r="22" spans="1:11" ht="12" thickBot="1">
      <c r="B22" s="573" t="s">
        <v>411</v>
      </c>
      <c r="C22" s="534">
        <v>0</v>
      </c>
      <c r="D22" s="589" t="s">
        <v>294</v>
      </c>
      <c r="E22" s="442" t="s">
        <v>256</v>
      </c>
      <c r="F22" s="600"/>
    </row>
    <row r="23" spans="1:11">
      <c r="B23" s="476" t="s">
        <v>147</v>
      </c>
      <c r="C23" s="533">
        <v>0</v>
      </c>
      <c r="D23" s="1127" t="s">
        <v>693</v>
      </c>
      <c r="E23" s="1128"/>
      <c r="F23" s="1129"/>
    </row>
    <row r="24" spans="1:11">
      <c r="B24" s="486" t="s">
        <v>146</v>
      </c>
      <c r="C24" s="530">
        <v>0</v>
      </c>
      <c r="D24" s="1130" t="s">
        <v>694</v>
      </c>
      <c r="E24" s="1131"/>
      <c r="F24" s="1132"/>
    </row>
    <row r="25" spans="1:11" ht="12" thickBot="1">
      <c r="B25" s="481" t="s">
        <v>143</v>
      </c>
      <c r="C25" s="532">
        <v>0</v>
      </c>
      <c r="D25" s="1133" t="s">
        <v>695</v>
      </c>
      <c r="E25" s="1134"/>
      <c r="F25" s="1135"/>
    </row>
    <row r="26" spans="1:11" ht="12" thickBot="1">
      <c r="A26" s="86"/>
      <c r="B26" s="1141"/>
      <c r="C26" s="1141"/>
      <c r="D26" s="1141"/>
      <c r="E26" s="393"/>
      <c r="F26" s="463"/>
    </row>
    <row r="27" spans="1:11" ht="12.75">
      <c r="B27" s="446" t="s">
        <v>5</v>
      </c>
      <c r="C27" s="447" t="s">
        <v>0</v>
      </c>
      <c r="D27" s="578" t="s">
        <v>4</v>
      </c>
      <c r="E27" s="449" t="s">
        <v>8</v>
      </c>
      <c r="F27" s="385"/>
    </row>
    <row r="28" spans="1:11">
      <c r="B28" s="410" t="s">
        <v>570</v>
      </c>
      <c r="C28" s="416">
        <f>IF(AND(C15=0,C17=0),C20*(C4+C5+C6),0)</f>
        <v>0</v>
      </c>
      <c r="D28" s="422"/>
      <c r="E28" s="413">
        <f>C28*D28</f>
        <v>0</v>
      </c>
      <c r="F28" s="385"/>
    </row>
    <row r="29" spans="1:11">
      <c r="B29" s="410" t="s">
        <v>612</v>
      </c>
      <c r="C29" s="416">
        <f>IF(AND(C15=0,C17=0),C21*(C4+C5+C6),0)</f>
        <v>0</v>
      </c>
      <c r="D29" s="422"/>
      <c r="E29" s="413">
        <f>C29*D29</f>
        <v>0</v>
      </c>
      <c r="F29" s="385"/>
    </row>
    <row r="30" spans="1:11">
      <c r="B30" s="410" t="s">
        <v>613</v>
      </c>
      <c r="C30" s="416">
        <f>IF(AND(C15=1,C18=0),C21*(C4+C5+C6),0)</f>
        <v>0</v>
      </c>
      <c r="D30" s="422"/>
      <c r="E30" s="413">
        <f t="shared" ref="E30:E84" si="1">C30*D30</f>
        <v>0</v>
      </c>
      <c r="F30" s="385"/>
    </row>
    <row r="31" spans="1:11">
      <c r="B31" s="415" t="s">
        <v>474</v>
      </c>
      <c r="C31" s="416">
        <f>IF(AND(C15=0,C17=0),C20*C2*(C4+C5+C6))</f>
        <v>0</v>
      </c>
      <c r="D31" s="422"/>
      <c r="E31" s="413">
        <f>C31*D31</f>
        <v>0</v>
      </c>
      <c r="F31" s="385"/>
    </row>
    <row r="32" spans="1:11">
      <c r="B32" s="415" t="s">
        <v>623</v>
      </c>
      <c r="C32" s="416">
        <f>C21*C2*(C4+C5+C6)</f>
        <v>0</v>
      </c>
      <c r="D32" s="422"/>
      <c r="E32" s="413">
        <f t="shared" si="1"/>
        <v>0</v>
      </c>
      <c r="F32" s="393"/>
    </row>
    <row r="33" spans="2:6">
      <c r="B33" s="415" t="s">
        <v>371</v>
      </c>
      <c r="C33" s="416">
        <f>IF(AND(C15=0,C17=0),C18*C2*(C4+C5+C6))</f>
        <v>0</v>
      </c>
      <c r="D33" s="422"/>
      <c r="E33" s="413">
        <f t="shared" si="1"/>
        <v>0</v>
      </c>
      <c r="F33" s="385"/>
    </row>
    <row r="34" spans="2:6">
      <c r="B34" s="415" t="s">
        <v>372</v>
      </c>
      <c r="C34" s="416">
        <f>IF(AND(C15=0,C16=0),C19*C2*(C4+C5+C6+C7+C8+C9),0)</f>
        <v>0</v>
      </c>
      <c r="D34" s="422"/>
      <c r="E34" s="413">
        <f t="shared" si="1"/>
        <v>0</v>
      </c>
      <c r="F34" s="463"/>
    </row>
    <row r="35" spans="2:6">
      <c r="B35" s="410" t="s">
        <v>642</v>
      </c>
      <c r="C35" s="411">
        <f>IF(AND(C17=1,C15+C18+C19=0,C21=1),C17*(C4+C5+C6+C7+C8+C9),0)</f>
        <v>0</v>
      </c>
      <c r="D35" s="422"/>
      <c r="E35" s="413">
        <f t="shared" si="1"/>
        <v>0</v>
      </c>
      <c r="F35" s="463"/>
    </row>
    <row r="36" spans="2:6">
      <c r="B36" s="410" t="s">
        <v>418</v>
      </c>
      <c r="C36" s="411">
        <f>IF(C15+C17+C21=0,(C18+C19)*2*(C4+C5+C6+C7+C8+C9),0)</f>
        <v>0</v>
      </c>
      <c r="D36" s="422"/>
      <c r="E36" s="413">
        <f t="shared" si="1"/>
        <v>0</v>
      </c>
      <c r="F36" s="463"/>
    </row>
    <row r="37" spans="2:6">
      <c r="B37" s="415" t="s">
        <v>540</v>
      </c>
      <c r="C37" s="416">
        <f>EVEN(ROUNDDOWN(IF(AND((C4+C5+C6)&gt;0.9,C22=0),((C4+C5+C6)*C2/0.5),0),0))</f>
        <v>0</v>
      </c>
      <c r="D37" s="422"/>
      <c r="E37" s="413">
        <f t="shared" si="1"/>
        <v>0</v>
      </c>
      <c r="F37" s="385"/>
    </row>
    <row r="38" spans="2:6">
      <c r="B38" s="415" t="s">
        <v>541</v>
      </c>
      <c r="C38" s="416">
        <f>EVEN(ROUNDDOWN(IF(AND((C4+C5+C6)&gt;0.9,C15=0,C17=1),((C4+C5+C6)*C3*2/0.5),0),0))</f>
        <v>0</v>
      </c>
      <c r="D38" s="422"/>
      <c r="E38" s="413">
        <f>C38*D38</f>
        <v>0</v>
      </c>
      <c r="F38" s="385"/>
    </row>
    <row r="39" spans="2:6">
      <c r="B39" s="415" t="s">
        <v>690</v>
      </c>
      <c r="C39" s="416">
        <f>(C4+C5+C6)*2</f>
        <v>0</v>
      </c>
      <c r="D39" s="422"/>
      <c r="E39" s="413">
        <f t="shared" si="1"/>
        <v>0</v>
      </c>
      <c r="F39" s="385"/>
    </row>
    <row r="40" spans="2:6">
      <c r="B40" s="415" t="s">
        <v>487</v>
      </c>
      <c r="C40" s="416">
        <f>(C4+C6)*C2</f>
        <v>0</v>
      </c>
      <c r="D40" s="422"/>
      <c r="E40" s="413">
        <f t="shared" si="1"/>
        <v>0</v>
      </c>
      <c r="F40" s="385"/>
    </row>
    <row r="41" spans="2:6">
      <c r="B41" s="415" t="s">
        <v>485</v>
      </c>
      <c r="C41" s="416">
        <f>C19*2*C2*(C4+C5+C6)</f>
        <v>0</v>
      </c>
      <c r="D41" s="422"/>
      <c r="E41" s="413">
        <f t="shared" si="1"/>
        <v>0</v>
      </c>
      <c r="F41" s="385"/>
    </row>
    <row r="42" spans="2:6">
      <c r="B42" s="415" t="s">
        <v>484</v>
      </c>
      <c r="C42" s="416">
        <f>(C21+C18)*C2*(C4+C5+C6)</f>
        <v>0</v>
      </c>
      <c r="D42" s="422"/>
      <c r="E42" s="413">
        <f t="shared" si="1"/>
        <v>0</v>
      </c>
      <c r="F42" s="385"/>
    </row>
    <row r="43" spans="2:6">
      <c r="B43" s="410" t="s">
        <v>481</v>
      </c>
      <c r="C43" s="411">
        <f>(C5+C20)*C2</f>
        <v>0</v>
      </c>
      <c r="D43" s="422"/>
      <c r="E43" s="413">
        <f t="shared" si="1"/>
        <v>0</v>
      </c>
      <c r="F43" s="385"/>
    </row>
    <row r="44" spans="2:6">
      <c r="B44" s="415" t="s">
        <v>532</v>
      </c>
      <c r="C44" s="416">
        <f>C4*C2</f>
        <v>0</v>
      </c>
      <c r="D44" s="422"/>
      <c r="E44" s="413">
        <f>C44*D44</f>
        <v>0</v>
      </c>
      <c r="F44" s="385"/>
    </row>
    <row r="45" spans="2:6">
      <c r="B45" s="410" t="s">
        <v>458</v>
      </c>
      <c r="C45" s="416">
        <f>C2*C5</f>
        <v>0</v>
      </c>
      <c r="D45" s="422"/>
      <c r="E45" s="413">
        <f t="shared" si="1"/>
        <v>0</v>
      </c>
      <c r="F45" s="385"/>
    </row>
    <row r="46" spans="2:6">
      <c r="B46" s="410" t="s">
        <v>457</v>
      </c>
      <c r="C46" s="411">
        <f>C2*C6</f>
        <v>0</v>
      </c>
      <c r="D46" s="422"/>
      <c r="E46" s="413">
        <f t="shared" si="1"/>
        <v>0</v>
      </c>
      <c r="F46" s="385"/>
    </row>
    <row r="47" spans="2:6">
      <c r="B47" s="415" t="s">
        <v>836</v>
      </c>
      <c r="C47" s="416">
        <f>C6+C5+C4</f>
        <v>0</v>
      </c>
      <c r="D47" s="422"/>
      <c r="E47" s="413">
        <f t="shared" si="1"/>
        <v>0</v>
      </c>
      <c r="F47" s="385"/>
    </row>
    <row r="48" spans="2:6">
      <c r="B48" s="415" t="s">
        <v>477</v>
      </c>
      <c r="C48" s="416">
        <f>C6</f>
        <v>0</v>
      </c>
      <c r="D48" s="422"/>
      <c r="E48" s="413">
        <f t="shared" si="1"/>
        <v>0</v>
      </c>
      <c r="F48" s="385"/>
    </row>
    <row r="49" spans="2:6">
      <c r="B49" s="415" t="s">
        <v>374</v>
      </c>
      <c r="C49" s="416">
        <f>C5</f>
        <v>0</v>
      </c>
      <c r="D49" s="422"/>
      <c r="E49" s="413">
        <f t="shared" si="1"/>
        <v>0</v>
      </c>
      <c r="F49" s="385"/>
    </row>
    <row r="50" spans="2:6">
      <c r="B50" s="415" t="s">
        <v>691</v>
      </c>
      <c r="C50" s="416">
        <f>(C4+C6+C5)*2</f>
        <v>0</v>
      </c>
      <c r="D50" s="422"/>
      <c r="E50" s="413">
        <f t="shared" si="1"/>
        <v>0</v>
      </c>
      <c r="F50" s="393"/>
    </row>
    <row r="51" spans="2:6">
      <c r="B51" s="425" t="s">
        <v>461</v>
      </c>
      <c r="C51" s="468">
        <f>C5+C4</f>
        <v>0</v>
      </c>
      <c r="D51" s="422"/>
      <c r="E51" s="469">
        <f t="shared" si="1"/>
        <v>0</v>
      </c>
      <c r="F51" s="385"/>
    </row>
    <row r="52" spans="2:6">
      <c r="B52" s="425" t="s">
        <v>382</v>
      </c>
      <c r="C52" s="468">
        <f>(C8+C7)*(C4+C5)</f>
        <v>0</v>
      </c>
      <c r="D52" s="422"/>
      <c r="E52" s="469">
        <f t="shared" si="1"/>
        <v>0</v>
      </c>
      <c r="F52" s="385"/>
    </row>
    <row r="53" spans="2:6">
      <c r="B53" s="425" t="s">
        <v>504</v>
      </c>
      <c r="C53" s="468">
        <f>C8*C5</f>
        <v>0</v>
      </c>
      <c r="D53" s="422"/>
      <c r="E53" s="469">
        <f t="shared" si="1"/>
        <v>0</v>
      </c>
      <c r="F53" s="385"/>
    </row>
    <row r="54" spans="2:6">
      <c r="B54" s="425" t="s">
        <v>384</v>
      </c>
      <c r="C54" s="468">
        <f>C9*C6</f>
        <v>0</v>
      </c>
      <c r="D54" s="422"/>
      <c r="E54" s="469">
        <f t="shared" si="1"/>
        <v>0</v>
      </c>
      <c r="F54" s="385"/>
    </row>
    <row r="55" spans="2:6" hidden="1">
      <c r="B55" s="425" t="s">
        <v>535</v>
      </c>
      <c r="C55" s="468">
        <f>(C7+C10)*C4</f>
        <v>0</v>
      </c>
      <c r="D55" s="422"/>
      <c r="E55" s="469">
        <f>C55*D55</f>
        <v>0</v>
      </c>
      <c r="F55" s="385"/>
    </row>
    <row r="56" spans="2:6">
      <c r="B56" s="425" t="s">
        <v>385</v>
      </c>
      <c r="C56" s="468">
        <f>C9*C6</f>
        <v>0</v>
      </c>
      <c r="D56" s="422"/>
      <c r="E56" s="469">
        <f t="shared" si="1"/>
        <v>0</v>
      </c>
      <c r="F56" s="385"/>
    </row>
    <row r="57" spans="2:6">
      <c r="B57" s="425" t="s">
        <v>387</v>
      </c>
      <c r="C57" s="468">
        <f>C11*C5</f>
        <v>0</v>
      </c>
      <c r="D57" s="422"/>
      <c r="E57" s="469">
        <f t="shared" si="1"/>
        <v>0</v>
      </c>
      <c r="F57" s="385"/>
    </row>
    <row r="58" spans="2:6">
      <c r="B58" s="425" t="s">
        <v>536</v>
      </c>
      <c r="C58" s="468">
        <f>(C11+C8)*C5</f>
        <v>0</v>
      </c>
      <c r="D58" s="422"/>
      <c r="E58" s="469">
        <f t="shared" si="1"/>
        <v>0</v>
      </c>
      <c r="F58" s="385"/>
    </row>
    <row r="59" spans="2:6">
      <c r="B59" s="425" t="s">
        <v>393</v>
      </c>
      <c r="C59" s="468">
        <f>C12*C6</f>
        <v>0</v>
      </c>
      <c r="D59" s="422"/>
      <c r="E59" s="469">
        <f t="shared" si="1"/>
        <v>0</v>
      </c>
      <c r="F59" s="385"/>
    </row>
    <row r="60" spans="2:6">
      <c r="B60" s="425" t="s">
        <v>394</v>
      </c>
      <c r="C60" s="468">
        <f>C12*C6</f>
        <v>0</v>
      </c>
      <c r="D60" s="422"/>
      <c r="E60" s="469">
        <f t="shared" si="1"/>
        <v>0</v>
      </c>
      <c r="F60" s="385"/>
    </row>
    <row r="61" spans="2:6">
      <c r="B61" s="415" t="s">
        <v>637</v>
      </c>
      <c r="C61" s="416">
        <f>C2*(C4+C5+C6)</f>
        <v>0</v>
      </c>
      <c r="D61" s="417"/>
      <c r="E61" s="413">
        <f t="shared" si="1"/>
        <v>0</v>
      </c>
      <c r="F61" s="385"/>
    </row>
    <row r="62" spans="2:6">
      <c r="B62" s="574" t="s">
        <v>638</v>
      </c>
      <c r="C62" s="575">
        <f>C2*(C4+C5+C6)</f>
        <v>0</v>
      </c>
      <c r="D62" s="422"/>
      <c r="E62" s="469">
        <f t="shared" si="1"/>
        <v>0</v>
      </c>
      <c r="F62" s="385"/>
    </row>
    <row r="63" spans="2:6">
      <c r="B63" s="574" t="s">
        <v>639</v>
      </c>
      <c r="C63" s="575">
        <f>C4+C5+C6</f>
        <v>0</v>
      </c>
      <c r="D63" s="422"/>
      <c r="E63" s="469">
        <f t="shared" si="1"/>
        <v>0</v>
      </c>
      <c r="F63" s="385"/>
    </row>
    <row r="64" spans="2:6">
      <c r="B64" s="574" t="s">
        <v>640</v>
      </c>
      <c r="C64" s="575">
        <f>C4+C5+C6</f>
        <v>0</v>
      </c>
      <c r="D64" s="591"/>
      <c r="E64" s="469">
        <f t="shared" si="1"/>
        <v>0</v>
      </c>
      <c r="F64" s="426"/>
    </row>
    <row r="65" spans="2:6">
      <c r="B65" s="410" t="s">
        <v>643</v>
      </c>
      <c r="C65" s="411">
        <f>IF(C17=1,C4+C5+C6,0)</f>
        <v>0</v>
      </c>
      <c r="D65" s="422"/>
      <c r="E65" s="469">
        <f t="shared" si="1"/>
        <v>0</v>
      </c>
      <c r="F65" s="426"/>
    </row>
    <row r="66" spans="2:6">
      <c r="B66" s="574" t="s">
        <v>692</v>
      </c>
      <c r="C66" s="575">
        <f>(C4+C5+C6)*2</f>
        <v>0</v>
      </c>
      <c r="D66" s="591"/>
      <c r="E66" s="469">
        <f t="shared" si="1"/>
        <v>0</v>
      </c>
      <c r="F66" s="426"/>
    </row>
    <row r="67" spans="2:6">
      <c r="B67" s="410" t="s">
        <v>644</v>
      </c>
      <c r="C67" s="411">
        <f>IF(C17=1,C3*2*(C4+C5+C6),0)</f>
        <v>0</v>
      </c>
      <c r="D67" s="422"/>
      <c r="E67" s="469">
        <f t="shared" si="1"/>
        <v>0</v>
      </c>
      <c r="F67" s="426"/>
    </row>
    <row r="68" spans="2:6">
      <c r="B68" s="410" t="s">
        <v>645</v>
      </c>
      <c r="C68" s="411">
        <f>IF(C17=1,C4+C5+C6,0)</f>
        <v>0</v>
      </c>
      <c r="D68" s="422"/>
      <c r="E68" s="469">
        <f t="shared" si="1"/>
        <v>0</v>
      </c>
      <c r="F68" s="426"/>
    </row>
    <row r="69" spans="2:6">
      <c r="B69" s="410" t="s">
        <v>646</v>
      </c>
      <c r="C69" s="411">
        <f>IF(C17=1,C3*2*(C4+C5+C6),0)</f>
        <v>0</v>
      </c>
      <c r="D69" s="422"/>
      <c r="E69" s="469">
        <f t="shared" si="1"/>
        <v>0</v>
      </c>
      <c r="F69" s="426"/>
    </row>
    <row r="70" spans="2:6">
      <c r="B70" s="410" t="s">
        <v>647</v>
      </c>
      <c r="C70" s="411">
        <f>IF(C16=1,C2*(C4+C5+C6),0)</f>
        <v>0</v>
      </c>
      <c r="D70" s="422"/>
      <c r="E70" s="469">
        <f>C70*D70</f>
        <v>0</v>
      </c>
      <c r="F70" s="426"/>
    </row>
    <row r="71" spans="2:6">
      <c r="B71" s="410" t="s">
        <v>491</v>
      </c>
      <c r="C71" s="411">
        <f>C2*(C4+C5+C6)</f>
        <v>0</v>
      </c>
      <c r="D71" s="422"/>
      <c r="E71" s="469">
        <f t="shared" si="1"/>
        <v>0</v>
      </c>
      <c r="F71" s="426"/>
    </row>
    <row r="72" spans="2:6">
      <c r="B72" s="410" t="s">
        <v>464</v>
      </c>
      <c r="C72" s="411">
        <f>IF(C16=1,C2*(C4+C5+C6),0)</f>
        <v>0</v>
      </c>
      <c r="D72" s="422"/>
      <c r="E72" s="469">
        <f t="shared" si="1"/>
        <v>0</v>
      </c>
      <c r="F72" s="426"/>
    </row>
    <row r="73" spans="2:6">
      <c r="B73" s="415" t="s">
        <v>464</v>
      </c>
      <c r="C73" s="416">
        <f>IF(C17=1,C3*4*(C4+C5+C6),0)</f>
        <v>0</v>
      </c>
      <c r="D73" s="422"/>
      <c r="E73" s="469">
        <f t="shared" si="1"/>
        <v>0</v>
      </c>
      <c r="F73" s="426"/>
    </row>
    <row r="74" spans="2:6">
      <c r="B74" s="415" t="s">
        <v>542</v>
      </c>
      <c r="C74" s="416">
        <f>IF(AND(C17=1,C14=1),((C3*2)+C2)*(C4+C5+C6),0)</f>
        <v>0</v>
      </c>
      <c r="D74" s="422"/>
      <c r="E74" s="469">
        <f>C74*D74</f>
        <v>0</v>
      </c>
      <c r="F74" s="426"/>
    </row>
    <row r="75" spans="2:6">
      <c r="B75" s="415" t="s">
        <v>376</v>
      </c>
      <c r="C75" s="416">
        <f>C15*((C3*2)+C2+0.3)*(C4+C5+C6)</f>
        <v>0</v>
      </c>
      <c r="D75" s="422"/>
      <c r="E75" s="469">
        <f t="shared" si="1"/>
        <v>0</v>
      </c>
      <c r="F75" s="426"/>
    </row>
    <row r="76" spans="2:6">
      <c r="B76" s="415" t="s">
        <v>377</v>
      </c>
      <c r="C76" s="416">
        <f>C15*2*(C4+C5+C6)</f>
        <v>0</v>
      </c>
      <c r="D76" s="422"/>
      <c r="E76" s="469">
        <f t="shared" si="1"/>
        <v>0</v>
      </c>
      <c r="F76" s="426"/>
    </row>
    <row r="77" spans="2:6">
      <c r="B77" s="415" t="s">
        <v>378</v>
      </c>
      <c r="C77" s="416">
        <f>C15*(C4+C5+C6)</f>
        <v>0</v>
      </c>
      <c r="D77" s="422"/>
      <c r="E77" s="469">
        <f t="shared" si="1"/>
        <v>0</v>
      </c>
      <c r="F77" s="426"/>
    </row>
    <row r="78" spans="2:6">
      <c r="B78" s="415" t="s">
        <v>465</v>
      </c>
      <c r="C78" s="416">
        <f>C15*2*(C4+C5+C6)</f>
        <v>0</v>
      </c>
      <c r="D78" s="422"/>
      <c r="E78" s="469">
        <f t="shared" si="1"/>
        <v>0</v>
      </c>
      <c r="F78" s="426"/>
    </row>
    <row r="79" spans="2:6">
      <c r="B79" s="415" t="s">
        <v>460</v>
      </c>
      <c r="C79" s="416">
        <f>C15*2*(C4+C5+C6)</f>
        <v>0</v>
      </c>
      <c r="D79" s="422"/>
      <c r="E79" s="469">
        <f t="shared" si="1"/>
        <v>0</v>
      </c>
      <c r="F79" s="426"/>
    </row>
    <row r="80" spans="2:6">
      <c r="B80" s="415" t="s">
        <v>343</v>
      </c>
      <c r="C80" s="416">
        <f>C15*(C4+C5+C6)</f>
        <v>0</v>
      </c>
      <c r="D80" s="422"/>
      <c r="E80" s="469">
        <f t="shared" si="1"/>
        <v>0</v>
      </c>
      <c r="F80" s="426"/>
    </row>
    <row r="81" spans="2:7">
      <c r="B81" s="594" t="s">
        <v>145</v>
      </c>
      <c r="C81" s="575">
        <f>C24</f>
        <v>0</v>
      </c>
      <c r="D81" s="591"/>
      <c r="E81" s="469">
        <f t="shared" si="1"/>
        <v>0</v>
      </c>
      <c r="F81" s="426"/>
    </row>
    <row r="82" spans="2:7">
      <c r="B82" s="594" t="s">
        <v>148</v>
      </c>
      <c r="C82" s="575">
        <f>C23</f>
        <v>0</v>
      </c>
      <c r="D82" s="591"/>
      <c r="E82" s="469">
        <f t="shared" si="1"/>
        <v>0</v>
      </c>
      <c r="F82" s="426"/>
    </row>
    <row r="83" spans="2:7">
      <c r="B83" s="594" t="s">
        <v>696</v>
      </c>
      <c r="C83" s="575">
        <f>C25</f>
        <v>0</v>
      </c>
      <c r="D83" s="591"/>
      <c r="E83" s="469">
        <f t="shared" si="1"/>
        <v>0</v>
      </c>
      <c r="F83" s="426"/>
    </row>
    <row r="84" spans="2:7" ht="12" thickBot="1">
      <c r="B84" s="576" t="s">
        <v>641</v>
      </c>
      <c r="C84" s="577">
        <f>EVEN(ROUNDDOWN(IF(C22=1,((C4+C5+C6)*C2/0.5),0),0))</f>
        <v>0</v>
      </c>
      <c r="D84" s="542"/>
      <c r="E84" s="473">
        <f t="shared" si="1"/>
        <v>0</v>
      </c>
      <c r="F84" s="426"/>
    </row>
    <row r="85" spans="2:7" ht="13.5" thickBot="1">
      <c r="B85" s="385"/>
      <c r="C85" s="385"/>
      <c r="D85" s="453" t="s">
        <v>9</v>
      </c>
      <c r="E85" s="458">
        <f>SUMIF(E28:E84,"&gt;0",E28:E84)</f>
        <v>0</v>
      </c>
      <c r="F85" s="426"/>
      <c r="G85" s="312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Ir7XLUzpbE6VvfsjONbUaZj7RTY5ZAK01xmDjMLI725G+PtbssVwH8zFFfI8yD61SaE2V7VKNhlEgOuKku1VxA==" saltValue="tb738Be4b5Lw2kyEpuoOEg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440" priority="11" operator="greaterThan">
      <formula>0</formula>
    </cfRule>
  </conditionalFormatting>
  <conditionalFormatting sqref="C13">
    <cfRule type="cellIs" dxfId="439" priority="12" operator="greaterThan">
      <formula>0</formula>
    </cfRule>
  </conditionalFormatting>
  <conditionalFormatting sqref="C13">
    <cfRule type="cellIs" dxfId="438" priority="10" operator="greaterThan">
      <formula>0</formula>
    </cfRule>
  </conditionalFormatting>
  <conditionalFormatting sqref="I3:I21">
    <cfRule type="cellIs" dxfId="437" priority="6" operator="equal">
      <formula>"ДА"</formula>
    </cfRule>
    <cfRule type="cellIs" dxfId="436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435" priority="9" operator="greaterThan">
      <formula>0</formula>
    </cfRule>
  </conditionalFormatting>
  <conditionalFormatting sqref="C2:C22">
    <cfRule type="cellIs" dxfId="434" priority="5" operator="greaterThan">
      <formula>0</formula>
    </cfRule>
  </conditionalFormatting>
  <conditionalFormatting sqref="C84:E84">
    <cfRule type="cellIs" dxfId="433" priority="4" operator="greaterThan">
      <formula>0</formula>
    </cfRule>
  </conditionalFormatting>
  <conditionalFormatting sqref="E85">
    <cfRule type="cellIs" dxfId="432" priority="3" operator="greaterThan">
      <formula>0</formula>
    </cfRule>
  </conditionalFormatting>
  <conditionalFormatting sqref="C23:C25">
    <cfRule type="cellIs" dxfId="431" priority="2" operator="greaterThan">
      <formula>0</formula>
    </cfRule>
  </conditionalFormatting>
  <conditionalFormatting sqref="C81:E83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29" activePane="bottomLeft" state="frozen"/>
      <selection pane="bottomLeft" activeCell="H34" sqref="H34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84"/>
      <c r="C1" s="384"/>
      <c r="D1" s="384"/>
      <c r="E1" s="384"/>
      <c r="F1" s="361"/>
    </row>
    <row r="2" spans="2:15" ht="12" customHeight="1" thickBot="1">
      <c r="B2" s="601" t="s">
        <v>10</v>
      </c>
      <c r="C2" s="608">
        <v>1</v>
      </c>
      <c r="D2" s="1143" t="s">
        <v>602</v>
      </c>
      <c r="E2" s="1144"/>
      <c r="F2" s="1145"/>
      <c r="G2" s="385"/>
      <c r="H2" s="450" t="s">
        <v>492</v>
      </c>
      <c r="I2" s="462" t="s">
        <v>611</v>
      </c>
      <c r="J2" s="451" t="s">
        <v>4</v>
      </c>
      <c r="K2" s="452" t="s">
        <v>8</v>
      </c>
      <c r="L2" s="377"/>
      <c r="M2" s="377"/>
    </row>
    <row r="3" spans="2:15" ht="12" customHeight="1" thickBot="1">
      <c r="B3" s="602" t="s">
        <v>1</v>
      </c>
      <c r="C3" s="609">
        <v>1</v>
      </c>
      <c r="D3" s="1146"/>
      <c r="E3" s="1147"/>
      <c r="F3" s="1148"/>
      <c r="G3" s="385"/>
      <c r="H3" s="386" t="s">
        <v>496</v>
      </c>
      <c r="I3" s="459" t="str">
        <f>IF(AND($C$10+$C$11+$C$12=1,$C$13+$C$14+$C$15=0,C16=1),"ДА","НЕТ")</f>
        <v>НЕТ</v>
      </c>
      <c r="J3" s="387"/>
      <c r="K3" s="388">
        <f>IF(I3="ДА",($C$4+$C$5+$C$6+$C$7+$C$8+$C$9)*J3,0)</f>
        <v>0</v>
      </c>
      <c r="L3" s="377"/>
      <c r="M3" s="377"/>
    </row>
    <row r="4" spans="2:15" ht="12" customHeight="1">
      <c r="B4" s="601" t="s">
        <v>420</v>
      </c>
      <c r="C4" s="610">
        <v>0</v>
      </c>
      <c r="D4" s="1149" t="s">
        <v>603</v>
      </c>
      <c r="E4" s="1117"/>
      <c r="F4" s="1118"/>
      <c r="G4" s="389"/>
      <c r="H4" s="390" t="s">
        <v>493</v>
      </c>
      <c r="I4" s="460" t="str">
        <f>IF(AND($C$10+$C$11+$C$12=1,$C$13+$C$14+$C$15=0,C16=3),"ДА","НЕТ")</f>
        <v>НЕТ</v>
      </c>
      <c r="J4" s="391"/>
      <c r="K4" s="388">
        <f t="shared" ref="K4:K19" si="0">IF(I4="ДА",($C$4+$C$5+$C$6+$C$7+$C$8+$C$9)*J4,0)</f>
        <v>0</v>
      </c>
      <c r="L4" s="311"/>
      <c r="M4" s="311"/>
      <c r="N4" s="311"/>
      <c r="O4" s="311"/>
    </row>
    <row r="5" spans="2:15" ht="12" customHeight="1">
      <c r="B5" s="603" t="s">
        <v>421</v>
      </c>
      <c r="C5" s="611">
        <v>0</v>
      </c>
      <c r="D5" s="1150"/>
      <c r="E5" s="1122"/>
      <c r="F5" s="1123"/>
      <c r="G5" s="385"/>
      <c r="H5" s="390" t="s">
        <v>598</v>
      </c>
      <c r="I5" s="460" t="str">
        <f>IF(AND($C$10+$C$11+$C$12=1,$C$13+$C$14+$C$15=0,C16=3),"ДА","НЕТ")</f>
        <v>НЕТ</v>
      </c>
      <c r="J5" s="391"/>
      <c r="K5" s="388">
        <f t="shared" si="0"/>
        <v>0</v>
      </c>
    </row>
    <row r="6" spans="2:15" ht="12" customHeight="1">
      <c r="B6" s="603" t="s">
        <v>593</v>
      </c>
      <c r="C6" s="611">
        <v>0</v>
      </c>
      <c r="D6" s="1150"/>
      <c r="E6" s="1122"/>
      <c r="F6" s="1123"/>
      <c r="G6" s="385"/>
      <c r="H6" s="390" t="s">
        <v>494</v>
      </c>
      <c r="I6" s="460" t="str">
        <f>IF(AND($C$10+$C$11+$C$12=1,$C$13+$C$14+$C$15=0,C16=2),"ДА","НЕТ")</f>
        <v>НЕТ</v>
      </c>
      <c r="J6" s="391"/>
      <c r="K6" s="388">
        <f t="shared" si="0"/>
        <v>0</v>
      </c>
    </row>
    <row r="7" spans="2:15" ht="12" customHeight="1">
      <c r="B7" s="605" t="s">
        <v>422</v>
      </c>
      <c r="C7" s="613">
        <v>0</v>
      </c>
      <c r="D7" s="1150"/>
      <c r="E7" s="1122"/>
      <c r="F7" s="1123"/>
      <c r="G7" s="385"/>
      <c r="H7" s="390" t="s">
        <v>495</v>
      </c>
      <c r="I7" s="460" t="str">
        <f>IF(AND($C$10+$C$11+$C$12=1,$C$13+$C$14+$C$15=0,C16=2),"ДА","НЕТ")</f>
        <v>НЕТ</v>
      </c>
      <c r="J7" s="391"/>
      <c r="K7" s="388">
        <f t="shared" si="0"/>
        <v>0</v>
      </c>
    </row>
    <row r="8" spans="2:15" ht="12" customHeight="1">
      <c r="B8" s="603" t="s">
        <v>423</v>
      </c>
      <c r="C8" s="611">
        <v>0</v>
      </c>
      <c r="D8" s="1150"/>
      <c r="E8" s="1122"/>
      <c r="F8" s="1123"/>
      <c r="G8" s="385"/>
      <c r="H8" s="390" t="s">
        <v>501</v>
      </c>
      <c r="I8" s="460" t="str">
        <f>IF(AND($C$10+$C$11+$C$12=1,$C$13+$C$14+$C$15=0,C16=2),"ДА","НЕТ")</f>
        <v>НЕТ</v>
      </c>
      <c r="J8" s="391"/>
      <c r="K8" s="388">
        <f t="shared" si="0"/>
        <v>0</v>
      </c>
    </row>
    <row r="9" spans="2:15" ht="12" customHeight="1" thickBot="1">
      <c r="B9" s="604" t="s">
        <v>592</v>
      </c>
      <c r="C9" s="612">
        <v>1</v>
      </c>
      <c r="D9" s="1151"/>
      <c r="E9" s="1120"/>
      <c r="F9" s="1121"/>
      <c r="G9" s="385"/>
      <c r="H9" s="386" t="s">
        <v>597</v>
      </c>
      <c r="I9" s="460" t="str">
        <f>IF(AND($C$12=1,$C$13+$C$14+$C$15+$C$10+$C$11=0,C16=1),"ДА","НЕТ")</f>
        <v>НЕТ</v>
      </c>
      <c r="J9" s="387"/>
      <c r="K9" s="388">
        <f t="shared" si="0"/>
        <v>0</v>
      </c>
    </row>
    <row r="10" spans="2:15" ht="12" customHeight="1">
      <c r="B10" s="601" t="s">
        <v>505</v>
      </c>
      <c r="C10" s="610">
        <v>0</v>
      </c>
      <c r="D10" s="432" t="s">
        <v>294</v>
      </c>
      <c r="E10" s="433" t="s">
        <v>256</v>
      </c>
      <c r="F10" s="1124" t="s">
        <v>603</v>
      </c>
      <c r="G10" s="393"/>
      <c r="H10" s="386" t="s">
        <v>390</v>
      </c>
      <c r="I10" s="460" t="str">
        <f>IF(AND($C$10+$C$11+$C$12+$C$15=0,$C$13+$C$14=1,C16=1),"ДА","НЕТ")</f>
        <v>НЕТ</v>
      </c>
      <c r="J10" s="394"/>
      <c r="K10" s="388">
        <f t="shared" si="0"/>
        <v>0</v>
      </c>
      <c r="L10" s="86"/>
      <c r="M10" s="86"/>
      <c r="N10" s="86"/>
    </row>
    <row r="11" spans="2:15" ht="12" customHeight="1">
      <c r="B11" s="603" t="s">
        <v>506</v>
      </c>
      <c r="C11" s="611">
        <v>0</v>
      </c>
      <c r="D11" s="434" t="s">
        <v>294</v>
      </c>
      <c r="E11" s="435" t="s">
        <v>256</v>
      </c>
      <c r="F11" s="1125"/>
      <c r="G11" s="385"/>
      <c r="H11" s="396" t="s">
        <v>391</v>
      </c>
      <c r="I11" s="460" t="str">
        <f>IF(AND($C$10+$C$11+$C$12+$C$15=0,$C$13+$C$14=1,C16=1),"ДА","НЕТ")</f>
        <v>НЕТ</v>
      </c>
      <c r="J11" s="394"/>
      <c r="K11" s="388">
        <f t="shared" si="0"/>
        <v>0</v>
      </c>
    </row>
    <row r="12" spans="2:15" ht="12" customHeight="1">
      <c r="B12" s="603" t="s">
        <v>594</v>
      </c>
      <c r="C12" s="611">
        <v>1</v>
      </c>
      <c r="D12" s="434" t="s">
        <v>294</v>
      </c>
      <c r="E12" s="436" t="s">
        <v>256</v>
      </c>
      <c r="F12" s="1125"/>
      <c r="G12" s="385"/>
      <c r="H12" s="396" t="s">
        <v>392</v>
      </c>
      <c r="I12" s="460" t="str">
        <f>IF(AND($C$10+$C$11+$C$12+$C$15=0,$C$13+$C$14=1,C16=1),"ДА","НЕТ")</f>
        <v>НЕТ</v>
      </c>
      <c r="J12" s="397"/>
      <c r="K12" s="388">
        <f t="shared" si="0"/>
        <v>0</v>
      </c>
    </row>
    <row r="13" spans="2:15" ht="12" customHeight="1">
      <c r="B13" s="605" t="s">
        <v>507</v>
      </c>
      <c r="C13" s="613">
        <v>0</v>
      </c>
      <c r="D13" s="437" t="s">
        <v>294</v>
      </c>
      <c r="E13" s="438" t="s">
        <v>256</v>
      </c>
      <c r="F13" s="1125"/>
      <c r="G13" s="385"/>
      <c r="H13" s="396" t="s">
        <v>599</v>
      </c>
      <c r="I13" s="460" t="str">
        <f>IF(AND($C$10+$C$11+$C$12+$C$13+$C$14=0,$C$15=1,C16=1),"ДА","НЕТ")</f>
        <v>НЕТ</v>
      </c>
      <c r="J13" s="397"/>
      <c r="K13" s="388">
        <f t="shared" si="0"/>
        <v>0</v>
      </c>
    </row>
    <row r="14" spans="2:15" ht="12" customHeight="1">
      <c r="B14" s="603" t="s">
        <v>508</v>
      </c>
      <c r="C14" s="611">
        <v>0</v>
      </c>
      <c r="D14" s="434" t="s">
        <v>294</v>
      </c>
      <c r="E14" s="435" t="s">
        <v>256</v>
      </c>
      <c r="F14" s="1125"/>
      <c r="G14" s="385"/>
      <c r="H14" s="396" t="s">
        <v>599</v>
      </c>
      <c r="I14" s="460" t="str">
        <f>IF(AND($C$10+$C$11+$C$12+$C$13+$C$14=0,$C$15=1,C16=1),"ДА","НЕТ")</f>
        <v>НЕТ</v>
      </c>
      <c r="J14" s="397"/>
      <c r="K14" s="388">
        <f t="shared" si="0"/>
        <v>0</v>
      </c>
    </row>
    <row r="15" spans="2:15" ht="12" customHeight="1" thickBot="1">
      <c r="B15" s="604" t="s">
        <v>595</v>
      </c>
      <c r="C15" s="612">
        <v>0</v>
      </c>
      <c r="D15" s="439" t="s">
        <v>294</v>
      </c>
      <c r="E15" s="440" t="s">
        <v>256</v>
      </c>
      <c r="F15" s="1126"/>
      <c r="G15" s="385"/>
      <c r="H15" s="386" t="s">
        <v>395</v>
      </c>
      <c r="I15" s="460" t="str">
        <f>IF(AND($C$10+$C$11+$C$12+$C$15=0,$C$13+$C$14=1,C16=2),"ДА","НЕТ")</f>
        <v>НЕТ</v>
      </c>
      <c r="J15" s="394"/>
      <c r="K15" s="388">
        <f t="shared" si="0"/>
        <v>0</v>
      </c>
    </row>
    <row r="16" spans="2:15" ht="12" customHeight="1" thickBot="1">
      <c r="B16" s="604" t="s">
        <v>596</v>
      </c>
      <c r="C16" s="612">
        <v>0</v>
      </c>
      <c r="D16" s="439" t="s">
        <v>626</v>
      </c>
      <c r="E16" s="440" t="s">
        <v>627</v>
      </c>
      <c r="F16" s="445" t="s">
        <v>628</v>
      </c>
      <c r="G16" s="385"/>
      <c r="H16" s="396" t="s">
        <v>396</v>
      </c>
      <c r="I16" s="460" t="str">
        <f>IF(AND($C$10+$C$11+$C$12+$C$15=0,$C$13+$C$14=1,C16=2),"ДА","НЕТ")</f>
        <v>НЕТ</v>
      </c>
      <c r="J16" s="394"/>
      <c r="K16" s="388">
        <f t="shared" si="0"/>
        <v>0</v>
      </c>
    </row>
    <row r="17" spans="2:13" ht="12" customHeight="1" thickBot="1">
      <c r="B17" s="606" t="s">
        <v>538</v>
      </c>
      <c r="C17" s="614">
        <v>0</v>
      </c>
      <c r="D17" s="441" t="s">
        <v>294</v>
      </c>
      <c r="E17" s="442" t="s">
        <v>256</v>
      </c>
      <c r="F17" s="539" t="s">
        <v>676</v>
      </c>
      <c r="G17" s="385"/>
      <c r="H17" s="396" t="s">
        <v>397</v>
      </c>
      <c r="I17" s="460" t="str">
        <f>IF(AND($C$10+$C$11+$C$12+$C$15=0,$C$13+$C$14=1,C16=2),"ДА","НЕТ")</f>
        <v>НЕТ</v>
      </c>
      <c r="J17" s="394"/>
      <c r="K17" s="388">
        <f t="shared" si="0"/>
        <v>0</v>
      </c>
    </row>
    <row r="18" spans="2:13" ht="12" customHeight="1" thickBot="1">
      <c r="B18" s="604" t="s">
        <v>539</v>
      </c>
      <c r="C18" s="612">
        <v>0</v>
      </c>
      <c r="D18" s="439" t="s">
        <v>294</v>
      </c>
      <c r="E18" s="440" t="s">
        <v>256</v>
      </c>
      <c r="F18" s="629"/>
      <c r="G18" s="385"/>
      <c r="H18" s="386" t="s">
        <v>600</v>
      </c>
      <c r="I18" s="459" t="str">
        <f>IF(AND($C$10+$C$11+$C$12+$C$13+$C$14=0,$C$15=1,C16=2),"ДА","НЕТ")</f>
        <v>НЕТ</v>
      </c>
      <c r="J18" s="398"/>
      <c r="K18" s="388">
        <f t="shared" si="0"/>
        <v>0</v>
      </c>
    </row>
    <row r="19" spans="2:13" ht="12" customHeight="1" thickBot="1">
      <c r="B19" s="607" t="s">
        <v>400</v>
      </c>
      <c r="C19" s="615">
        <v>0</v>
      </c>
      <c r="D19" s="443" t="s">
        <v>401</v>
      </c>
      <c r="E19" s="444" t="s">
        <v>402</v>
      </c>
      <c r="F19" s="629"/>
      <c r="G19" s="385"/>
      <c r="H19" s="400" t="s">
        <v>601</v>
      </c>
      <c r="I19" s="461" t="str">
        <f>IF(AND($C$10+$C$11+$C$12+$C$13+$C$14=0,$C$15=1,C16=2),"ДА","НЕТ")</f>
        <v>НЕТ</v>
      </c>
      <c r="J19" s="401"/>
      <c r="K19" s="544">
        <f t="shared" si="0"/>
        <v>0</v>
      </c>
    </row>
    <row r="20" spans="2:13" ht="12" customHeight="1" thickBot="1">
      <c r="B20" s="606" t="s">
        <v>365</v>
      </c>
      <c r="C20" s="614">
        <v>0</v>
      </c>
      <c r="D20" s="441" t="s">
        <v>424</v>
      </c>
      <c r="E20" s="442" t="s">
        <v>425</v>
      </c>
      <c r="F20" s="630"/>
      <c r="G20" s="385"/>
      <c r="H20" s="403"/>
      <c r="I20" s="404"/>
      <c r="J20" s="405"/>
      <c r="K20" s="406"/>
    </row>
    <row r="21" spans="2:13" ht="12" customHeight="1">
      <c r="B21" s="605" t="s">
        <v>368</v>
      </c>
      <c r="C21" s="613">
        <v>0</v>
      </c>
      <c r="D21" s="432" t="s">
        <v>294</v>
      </c>
      <c r="E21" s="433" t="s">
        <v>256</v>
      </c>
      <c r="F21" s="1124" t="s">
        <v>604</v>
      </c>
      <c r="G21" s="385"/>
      <c r="H21" s="385"/>
      <c r="I21" s="385"/>
      <c r="J21" s="385"/>
      <c r="K21" s="385"/>
    </row>
    <row r="22" spans="2:13" ht="12" customHeight="1">
      <c r="B22" s="605" t="s">
        <v>473</v>
      </c>
      <c r="C22" s="613">
        <v>0</v>
      </c>
      <c r="D22" s="434" t="s">
        <v>294</v>
      </c>
      <c r="E22" s="435" t="s">
        <v>256</v>
      </c>
      <c r="F22" s="1125"/>
      <c r="G22" s="385"/>
      <c r="H22" s="385"/>
      <c r="I22" s="385"/>
      <c r="J22" s="385"/>
      <c r="K22" s="385"/>
    </row>
    <row r="23" spans="2:13" ht="12" customHeight="1">
      <c r="B23" s="603" t="s">
        <v>369</v>
      </c>
      <c r="C23" s="611">
        <v>0</v>
      </c>
      <c r="D23" s="434" t="s">
        <v>294</v>
      </c>
      <c r="E23" s="435" t="s">
        <v>256</v>
      </c>
      <c r="F23" s="1125"/>
      <c r="G23" s="407"/>
      <c r="H23" s="407"/>
      <c r="I23" s="407"/>
      <c r="J23" s="407"/>
      <c r="K23" s="407"/>
      <c r="L23" s="7"/>
      <c r="M23" s="7"/>
    </row>
    <row r="24" spans="2:13" ht="12" customHeight="1" thickBot="1">
      <c r="B24" s="602" t="s">
        <v>474</v>
      </c>
      <c r="C24" s="616">
        <v>0</v>
      </c>
      <c r="D24" s="439" t="s">
        <v>294</v>
      </c>
      <c r="E24" s="440" t="s">
        <v>256</v>
      </c>
      <c r="F24" s="1126"/>
      <c r="G24" s="385"/>
      <c r="H24" s="385"/>
      <c r="I24" s="385"/>
      <c r="J24" s="385"/>
      <c r="K24" s="385"/>
    </row>
    <row r="25" spans="2:13" ht="12" customHeight="1">
      <c r="B25" s="794" t="s">
        <v>147</v>
      </c>
      <c r="C25" s="796">
        <v>0</v>
      </c>
      <c r="D25" s="1152" t="s">
        <v>693</v>
      </c>
      <c r="E25" s="1128"/>
      <c r="F25" s="1129"/>
      <c r="G25" s="385"/>
      <c r="H25" s="385"/>
      <c r="I25" s="385"/>
      <c r="J25" s="385"/>
      <c r="K25" s="385"/>
    </row>
    <row r="26" spans="2:13" ht="12" customHeight="1" thickBot="1">
      <c r="B26" s="795" t="s">
        <v>146</v>
      </c>
      <c r="C26" s="797">
        <v>0</v>
      </c>
      <c r="D26" s="1153" t="s">
        <v>694</v>
      </c>
      <c r="E26" s="1134"/>
      <c r="F26" s="1135"/>
      <c r="G26" s="385"/>
      <c r="H26" s="385"/>
      <c r="I26" s="385"/>
      <c r="J26" s="385"/>
      <c r="K26" s="385"/>
    </row>
    <row r="27" spans="2:13" ht="12" customHeight="1" thickBot="1">
      <c r="B27" s="1142"/>
      <c r="C27" s="1142"/>
      <c r="D27" s="1142"/>
      <c r="E27" s="1142"/>
      <c r="F27" s="408"/>
      <c r="G27" s="385"/>
      <c r="H27" s="385"/>
      <c r="I27" s="385"/>
      <c r="J27" s="385"/>
      <c r="K27" s="385"/>
    </row>
    <row r="28" spans="2:13" ht="12" customHeight="1">
      <c r="B28" s="446" t="s">
        <v>5</v>
      </c>
      <c r="C28" s="447" t="s">
        <v>0</v>
      </c>
      <c r="D28" s="448" t="s">
        <v>4</v>
      </c>
      <c r="E28" s="449" t="s">
        <v>8</v>
      </c>
      <c r="F28" s="409"/>
      <c r="G28" s="385"/>
      <c r="H28" s="385"/>
      <c r="I28" s="385"/>
      <c r="J28" s="385"/>
      <c r="K28" s="385"/>
    </row>
    <row r="29" spans="2:13" ht="12" customHeight="1">
      <c r="B29" s="410" t="s">
        <v>570</v>
      </c>
      <c r="C29" s="411">
        <f>IF(C17=0,C24*(C4+C5+C7+C8+C6+C9),0)</f>
        <v>0</v>
      </c>
      <c r="D29" s="412"/>
      <c r="E29" s="413">
        <f t="shared" ref="E29:E81" si="1">C29*D29</f>
        <v>0</v>
      </c>
      <c r="F29" s="414"/>
      <c r="G29" s="385"/>
      <c r="H29" s="385"/>
      <c r="I29" s="385"/>
      <c r="J29" s="385"/>
      <c r="K29" s="385"/>
    </row>
    <row r="30" spans="2:13" ht="12" customHeight="1">
      <c r="B30" s="410" t="s">
        <v>571</v>
      </c>
      <c r="C30" s="411">
        <f>C22*(C4+C5+C7+C8+C6+C9)</f>
        <v>0</v>
      </c>
      <c r="D30" s="412"/>
      <c r="E30" s="413">
        <f>C30*D30</f>
        <v>0</v>
      </c>
      <c r="F30" s="414"/>
      <c r="G30" s="385"/>
      <c r="H30" s="385"/>
      <c r="I30" s="385"/>
      <c r="J30" s="385"/>
      <c r="K30" s="385"/>
    </row>
    <row r="31" spans="2:13" ht="12" customHeight="1">
      <c r="B31" s="410" t="s">
        <v>117</v>
      </c>
      <c r="C31" s="411">
        <f>(C21+C23)*2*(C4+C5+C7+C8+C6+C9)</f>
        <v>0</v>
      </c>
      <c r="D31" s="412"/>
      <c r="E31" s="413">
        <f t="shared" si="1"/>
        <v>0</v>
      </c>
      <c r="F31" s="414"/>
      <c r="G31" s="385"/>
      <c r="H31" s="385"/>
      <c r="I31" s="385"/>
      <c r="J31" s="385"/>
      <c r="K31" s="385"/>
    </row>
    <row r="32" spans="2:13" ht="12" customHeight="1">
      <c r="B32" s="415" t="s">
        <v>648</v>
      </c>
      <c r="C32" s="416">
        <f>EVEN(ROUNDDOWN(IF(AND(C7+C8+C9&gt;0.9,C4+C5+C6=0),(C7+C8)*C2/0.5,0),0))</f>
        <v>0</v>
      </c>
      <c r="D32" s="417"/>
      <c r="E32" s="413">
        <f t="shared" si="1"/>
        <v>0</v>
      </c>
      <c r="F32" s="414"/>
      <c r="G32" s="393"/>
      <c r="H32" s="393"/>
      <c r="I32" s="385"/>
      <c r="J32" s="385"/>
      <c r="K32" s="385"/>
    </row>
    <row r="33" spans="2:11" ht="12" customHeight="1">
      <c r="B33" s="415" t="s">
        <v>466</v>
      </c>
      <c r="C33" s="416">
        <f>IF(AND(C10+C11+C12&gt;0,C13+C14+C15=0,C19=1,C20=0,C18=1),(C4+C5+C7+C8+C6+C9),0)</f>
        <v>0</v>
      </c>
      <c r="D33" s="417"/>
      <c r="E33" s="413">
        <f>C33*D33</f>
        <v>0</v>
      </c>
      <c r="F33" s="414"/>
      <c r="G33" s="418"/>
      <c r="H33" s="385"/>
      <c r="I33" s="385"/>
      <c r="J33" s="385"/>
      <c r="K33" s="385"/>
    </row>
    <row r="34" spans="2:11" ht="12" customHeight="1">
      <c r="B34" s="415" t="s">
        <v>467</v>
      </c>
      <c r="C34" s="411">
        <f>IF(AND(C10+C11+C12&gt;0,C13+C14+C15=0,C19=1,C20=1,C18=1),(C4+C5+C7+C8+C6+C9),0)</f>
        <v>0</v>
      </c>
      <c r="D34" s="412"/>
      <c r="E34" s="413">
        <f>C34*D34</f>
        <v>0</v>
      </c>
      <c r="F34" s="414"/>
      <c r="G34" s="408"/>
      <c r="H34" s="408"/>
      <c r="I34" s="385"/>
      <c r="J34" s="385"/>
      <c r="K34" s="385"/>
    </row>
    <row r="35" spans="2:11" ht="12" customHeight="1">
      <c r="B35" s="415" t="s">
        <v>427</v>
      </c>
      <c r="C35" s="411">
        <f>IF(AND(C10+C11+C12&gt;0,C13+C14+C15=0,C19=1,C20=0,C18=1),(C4+C5+C7+C8+C6+C9),0)</f>
        <v>0</v>
      </c>
      <c r="D35" s="412"/>
      <c r="E35" s="413">
        <f t="shared" ref="E35:E36" si="2">C35*D35</f>
        <v>0</v>
      </c>
      <c r="F35" s="414"/>
      <c r="G35" s="859"/>
      <c r="H35" s="859"/>
      <c r="I35" s="385"/>
      <c r="J35" s="385"/>
      <c r="K35" s="385"/>
    </row>
    <row r="36" spans="2:11" ht="12" customHeight="1">
      <c r="B36" s="415" t="s">
        <v>428</v>
      </c>
      <c r="C36" s="411">
        <f>IF(AND(C10+C11+C12&gt;0,C13+C14+C15=0,C19=1,C20=1,C18=1),(C4+C5+C7+C8+C6+C9),0)</f>
        <v>0</v>
      </c>
      <c r="D36" s="412"/>
      <c r="E36" s="413">
        <f t="shared" si="2"/>
        <v>0</v>
      </c>
      <c r="F36" s="414"/>
      <c r="G36" s="859"/>
      <c r="H36" s="859"/>
      <c r="I36" s="385"/>
      <c r="J36" s="385"/>
      <c r="K36" s="385"/>
    </row>
    <row r="37" spans="2:11" ht="12" customHeight="1">
      <c r="B37" s="415" t="s">
        <v>427</v>
      </c>
      <c r="C37" s="416">
        <f>IF(AND(C10+C11+C12&gt;0,C13+C14+C15=0,C19=0,C20=0),(C4+C5+C7+C8+C6+C9)*2,0)</f>
        <v>2</v>
      </c>
      <c r="D37" s="417"/>
      <c r="E37" s="413">
        <f>C37*D37</f>
        <v>0</v>
      </c>
      <c r="F37" s="414"/>
      <c r="G37" s="418"/>
      <c r="H37" s="385"/>
      <c r="I37" s="385"/>
      <c r="J37" s="385"/>
      <c r="K37" s="385"/>
    </row>
    <row r="38" spans="2:11" ht="12" customHeight="1">
      <c r="B38" s="415" t="s">
        <v>428</v>
      </c>
      <c r="C38" s="419">
        <f>IF(AND(C10+C11+C12&gt;0,C13+C14+C15=0,C19=0,C20=1),(C4+C5+C7+C8+C6+C9)*2,0)</f>
        <v>0</v>
      </c>
      <c r="D38" s="420"/>
      <c r="E38" s="413">
        <f>C38*D38</f>
        <v>0</v>
      </c>
      <c r="F38" s="414"/>
      <c r="G38" s="385"/>
      <c r="H38" s="385"/>
      <c r="I38" s="385"/>
      <c r="J38" s="385"/>
      <c r="K38" s="385"/>
    </row>
    <row r="39" spans="2:11" ht="12" customHeight="1">
      <c r="B39" s="415" t="s">
        <v>427</v>
      </c>
      <c r="C39" s="416">
        <f>IF(AND(C10+C11+C12=0,C13+C14+C15&gt;0,C19=0,C20=0),(C4+C5+C7+C8+C6+C9)*2,0)</f>
        <v>0</v>
      </c>
      <c r="D39" s="417"/>
      <c r="E39" s="413">
        <f t="shared" si="1"/>
        <v>0</v>
      </c>
      <c r="F39" s="414"/>
      <c r="G39" s="421"/>
      <c r="H39" s="408"/>
      <c r="I39" s="385"/>
      <c r="J39" s="385"/>
      <c r="K39" s="385"/>
    </row>
    <row r="40" spans="2:11" ht="12" customHeight="1">
      <c r="B40" s="415" t="s">
        <v>428</v>
      </c>
      <c r="C40" s="419">
        <f>IF(AND(C10+C11+C12=0,C13+C14+C15&gt;0,C19=0,C20=1),(C4+C5+C7+C8+C6+C9)*2,0)</f>
        <v>0</v>
      </c>
      <c r="D40" s="420"/>
      <c r="E40" s="413">
        <f t="shared" si="1"/>
        <v>0</v>
      </c>
      <c r="F40" s="414"/>
      <c r="G40" s="385"/>
      <c r="H40" s="385"/>
      <c r="I40" s="385"/>
      <c r="J40" s="385"/>
      <c r="K40" s="385"/>
    </row>
    <row r="41" spans="2:11" ht="12" customHeight="1">
      <c r="B41" s="415" t="s">
        <v>518</v>
      </c>
      <c r="C41" s="416">
        <f>IF(AND(C10+C11=0,C13+C14&gt;0,C20=0),(C4+C5+C7+C8+C6+C9),0)</f>
        <v>0</v>
      </c>
      <c r="D41" s="417"/>
      <c r="E41" s="413">
        <f>C41*D41</f>
        <v>0</v>
      </c>
      <c r="F41" s="414"/>
      <c r="G41" s="385"/>
      <c r="H41" s="385"/>
      <c r="I41" s="385"/>
      <c r="J41" s="385"/>
      <c r="K41" s="385"/>
    </row>
    <row r="42" spans="2:11" ht="12" customHeight="1">
      <c r="B42" s="415" t="s">
        <v>519</v>
      </c>
      <c r="C42" s="419">
        <f>IF(AND(C10+C11=0,C13+C14&gt;0,C20=1),(C4+C5+C7+C8+C6+C9),0)</f>
        <v>0</v>
      </c>
      <c r="D42" s="420"/>
      <c r="E42" s="413">
        <f>C42*D42</f>
        <v>0</v>
      </c>
      <c r="F42" s="414"/>
      <c r="G42" s="385"/>
      <c r="H42" s="385"/>
      <c r="I42" s="385"/>
      <c r="J42" s="385"/>
      <c r="K42" s="385"/>
    </row>
    <row r="43" spans="2:11" ht="12" customHeight="1">
      <c r="B43" s="410" t="s">
        <v>649</v>
      </c>
      <c r="C43" s="419">
        <f>(C4+C5+C6)*2</f>
        <v>0</v>
      </c>
      <c r="D43" s="420"/>
      <c r="E43" s="413">
        <f t="shared" si="1"/>
        <v>0</v>
      </c>
      <c r="F43" s="414"/>
      <c r="G43" s="385"/>
      <c r="H43" s="385"/>
      <c r="I43" s="385"/>
      <c r="J43" s="385"/>
      <c r="K43" s="385"/>
    </row>
    <row r="44" spans="2:11" ht="12" customHeight="1">
      <c r="B44" s="415" t="s">
        <v>650</v>
      </c>
      <c r="C44" s="419">
        <f>IF(C4+C5=0,(C7+C8+C9)*2,0)</f>
        <v>2</v>
      </c>
      <c r="D44" s="420"/>
      <c r="E44" s="413">
        <f t="shared" si="1"/>
        <v>0</v>
      </c>
      <c r="F44" s="414"/>
      <c r="G44" s="385"/>
      <c r="H44" s="385"/>
      <c r="I44" s="385"/>
      <c r="J44" s="385"/>
      <c r="K44" s="385"/>
    </row>
    <row r="45" spans="2:11" ht="12" customHeight="1">
      <c r="B45" s="415" t="s">
        <v>439</v>
      </c>
      <c r="C45" s="411">
        <f>C4+C7</f>
        <v>0</v>
      </c>
      <c r="D45" s="412"/>
      <c r="E45" s="413">
        <f t="shared" si="1"/>
        <v>0</v>
      </c>
      <c r="F45" s="414"/>
      <c r="G45" s="385"/>
      <c r="H45" s="385"/>
      <c r="I45" s="385"/>
      <c r="J45" s="385"/>
      <c r="K45" s="385"/>
    </row>
    <row r="46" spans="2:11" ht="12" customHeight="1">
      <c r="B46" s="415" t="s">
        <v>440</v>
      </c>
      <c r="C46" s="416">
        <f>(C4+C7)*2</f>
        <v>0</v>
      </c>
      <c r="D46" s="417"/>
      <c r="E46" s="413">
        <f t="shared" si="1"/>
        <v>0</v>
      </c>
      <c r="F46" s="414"/>
      <c r="G46" s="385"/>
      <c r="H46" s="385"/>
      <c r="I46" s="385"/>
      <c r="J46" s="385"/>
      <c r="K46" s="385"/>
    </row>
    <row r="47" spans="2:11" ht="12" customHeight="1">
      <c r="B47" s="415" t="s">
        <v>607</v>
      </c>
      <c r="C47" s="416">
        <f>(C6+C9)*2</f>
        <v>2</v>
      </c>
      <c r="D47" s="417"/>
      <c r="E47" s="413">
        <f>C47*D47</f>
        <v>0</v>
      </c>
      <c r="F47" s="414"/>
      <c r="G47" s="385"/>
      <c r="H47" s="385"/>
      <c r="I47" s="385"/>
      <c r="J47" s="385"/>
      <c r="K47" s="385"/>
    </row>
    <row r="48" spans="2:11" ht="12" customHeight="1">
      <c r="B48" s="415" t="s">
        <v>441</v>
      </c>
      <c r="C48" s="416">
        <f>C5+C8+C6+C9</f>
        <v>1</v>
      </c>
      <c r="D48" s="417"/>
      <c r="E48" s="413">
        <f t="shared" si="1"/>
        <v>0</v>
      </c>
      <c r="F48" s="414"/>
      <c r="G48" s="385"/>
      <c r="H48" s="385"/>
      <c r="I48" s="385"/>
      <c r="J48" s="385"/>
      <c r="K48" s="385"/>
    </row>
    <row r="49" spans="2:11" ht="12" customHeight="1">
      <c r="B49" s="415" t="s">
        <v>651</v>
      </c>
      <c r="C49" s="416">
        <f>IF(C17=0,(C7+C8+C9)*2,0)</f>
        <v>2</v>
      </c>
      <c r="D49" s="417"/>
      <c r="E49" s="413">
        <f t="shared" si="1"/>
        <v>0</v>
      </c>
      <c r="F49" s="414"/>
      <c r="G49" s="385"/>
      <c r="H49" s="385"/>
      <c r="I49" s="385"/>
      <c r="J49" s="385"/>
      <c r="K49" s="385"/>
    </row>
    <row r="50" spans="2:11" ht="12" customHeight="1">
      <c r="B50" s="415" t="s">
        <v>481</v>
      </c>
      <c r="C50" s="416">
        <f>C24*C2*(C4+C5+C7+C8+C6+C9)</f>
        <v>0</v>
      </c>
      <c r="D50" s="417"/>
      <c r="E50" s="413">
        <f>C50*D50</f>
        <v>0</v>
      </c>
      <c r="F50" s="414"/>
      <c r="G50" s="385"/>
      <c r="H50" s="385"/>
      <c r="I50" s="385"/>
      <c r="J50" s="385"/>
      <c r="K50" s="385"/>
    </row>
    <row r="51" spans="2:11" ht="12" customHeight="1">
      <c r="B51" s="410" t="s">
        <v>481</v>
      </c>
      <c r="C51" s="416">
        <f>C2*(C4+C5+C7+C8+C6+C9)</f>
        <v>1</v>
      </c>
      <c r="D51" s="417"/>
      <c r="E51" s="413">
        <f t="shared" si="1"/>
        <v>0</v>
      </c>
      <c r="F51" s="414"/>
      <c r="G51" s="385"/>
      <c r="H51" s="385"/>
      <c r="I51" s="385"/>
      <c r="J51" s="385"/>
      <c r="K51" s="385"/>
    </row>
    <row r="52" spans="2:11" ht="12" customHeight="1">
      <c r="B52" s="415" t="s">
        <v>370</v>
      </c>
      <c r="C52" s="416">
        <f>C23*2*C2*(C4+C5+C7+C8+C6+C9)</f>
        <v>0</v>
      </c>
      <c r="D52" s="417"/>
      <c r="E52" s="413">
        <f t="shared" si="1"/>
        <v>0</v>
      </c>
      <c r="F52" s="414"/>
      <c r="G52" s="385"/>
      <c r="H52" s="385"/>
      <c r="I52" s="385"/>
      <c r="J52" s="385"/>
      <c r="K52" s="385"/>
    </row>
    <row r="53" spans="2:11" ht="12" customHeight="1">
      <c r="B53" s="415" t="s">
        <v>484</v>
      </c>
      <c r="C53" s="416">
        <f>C22*C2*(C4+C5+C7+C8+C6+C9)</f>
        <v>0</v>
      </c>
      <c r="D53" s="422"/>
      <c r="E53" s="413">
        <f t="shared" si="1"/>
        <v>0</v>
      </c>
      <c r="F53" s="414"/>
      <c r="G53" s="385"/>
      <c r="H53" s="385"/>
      <c r="I53" s="385"/>
      <c r="J53" s="385"/>
      <c r="K53" s="385"/>
    </row>
    <row r="54" spans="2:11" ht="12" customHeight="1">
      <c r="B54" s="415" t="s">
        <v>474</v>
      </c>
      <c r="C54" s="416">
        <f>C24*C2*(C4+C5+C7+C8+C6+C9)</f>
        <v>0</v>
      </c>
      <c r="D54" s="417"/>
      <c r="E54" s="413">
        <f t="shared" si="1"/>
        <v>0</v>
      </c>
      <c r="F54" s="414"/>
      <c r="G54" s="385"/>
      <c r="H54" s="385"/>
      <c r="I54" s="385"/>
      <c r="J54" s="385"/>
      <c r="K54" s="385"/>
    </row>
    <row r="55" spans="2:11" ht="12" customHeight="1">
      <c r="B55" s="415" t="s">
        <v>652</v>
      </c>
      <c r="C55" s="416">
        <f>C22*C2*(C4+C5+C7+C8+C6+C9)</f>
        <v>0</v>
      </c>
      <c r="D55" s="417"/>
      <c r="E55" s="413">
        <f>C55*D55</f>
        <v>0</v>
      </c>
      <c r="F55" s="414"/>
      <c r="G55" s="385"/>
      <c r="H55" s="385"/>
      <c r="I55" s="385"/>
      <c r="J55" s="385"/>
      <c r="K55" s="385"/>
    </row>
    <row r="56" spans="2:11" ht="12" customHeight="1">
      <c r="B56" s="415" t="s">
        <v>371</v>
      </c>
      <c r="C56" s="416">
        <f>C21*C2*(C4+C5+C7+C8+C6+C9)</f>
        <v>0</v>
      </c>
      <c r="D56" s="417"/>
      <c r="E56" s="413">
        <f t="shared" si="1"/>
        <v>0</v>
      </c>
      <c r="F56" s="414"/>
      <c r="G56" s="385"/>
      <c r="H56" s="385"/>
      <c r="I56" s="385"/>
      <c r="J56" s="385"/>
      <c r="K56" s="385"/>
    </row>
    <row r="57" spans="2:11" ht="12" customHeight="1">
      <c r="B57" s="415" t="s">
        <v>372</v>
      </c>
      <c r="C57" s="423">
        <f>C23*C2*(C4+C5+C7+C8+C6+C9)</f>
        <v>0</v>
      </c>
      <c r="D57" s="417"/>
      <c r="E57" s="413">
        <f t="shared" si="1"/>
        <v>0</v>
      </c>
      <c r="F57" s="414"/>
      <c r="G57" s="385"/>
      <c r="H57" s="385"/>
      <c r="I57" s="385"/>
      <c r="J57" s="385"/>
      <c r="K57" s="385"/>
    </row>
    <row r="58" spans="2:11" ht="12" customHeight="1">
      <c r="B58" s="410" t="s">
        <v>468</v>
      </c>
      <c r="C58" s="423">
        <f>(C4+C7)*C2</f>
        <v>0</v>
      </c>
      <c r="D58" s="417"/>
      <c r="E58" s="413">
        <f t="shared" si="1"/>
        <v>0</v>
      </c>
      <c r="F58" s="414"/>
      <c r="G58" s="385"/>
      <c r="H58" s="385"/>
      <c r="I58" s="385"/>
      <c r="J58" s="385"/>
      <c r="K58" s="385"/>
    </row>
    <row r="59" spans="2:11" ht="12" customHeight="1">
      <c r="B59" s="410" t="s">
        <v>469</v>
      </c>
      <c r="C59" s="423">
        <f>(C5+C8)*C2</f>
        <v>0</v>
      </c>
      <c r="D59" s="417"/>
      <c r="E59" s="413">
        <f t="shared" si="1"/>
        <v>0</v>
      </c>
      <c r="F59" s="414"/>
      <c r="G59" s="418"/>
      <c r="H59" s="385"/>
      <c r="I59" s="385"/>
      <c r="J59" s="385"/>
      <c r="K59" s="385"/>
    </row>
    <row r="60" spans="2:11" ht="12" customHeight="1">
      <c r="B60" s="410" t="s">
        <v>608</v>
      </c>
      <c r="C60" s="423">
        <f>(C6+C9)*C2</f>
        <v>1</v>
      </c>
      <c r="D60" s="417"/>
      <c r="E60" s="413">
        <f>C60*D60</f>
        <v>0</v>
      </c>
      <c r="F60" s="414"/>
      <c r="G60" s="418"/>
      <c r="H60" s="385"/>
      <c r="I60" s="385"/>
      <c r="J60" s="385"/>
      <c r="K60" s="385"/>
    </row>
    <row r="61" spans="2:11" ht="12" customHeight="1">
      <c r="B61" s="410" t="s">
        <v>429</v>
      </c>
      <c r="C61" s="423">
        <f>IF(C4+C5=0,(C7+C8+C9)*C2,0)</f>
        <v>1</v>
      </c>
      <c r="D61" s="417"/>
      <c r="E61" s="413">
        <f t="shared" si="1"/>
        <v>0</v>
      </c>
      <c r="F61" s="414"/>
      <c r="G61" s="385"/>
      <c r="H61" s="385"/>
      <c r="I61" s="385"/>
      <c r="J61" s="385"/>
      <c r="K61" s="385"/>
    </row>
    <row r="62" spans="2:11" ht="12" customHeight="1">
      <c r="B62" s="415" t="s">
        <v>653</v>
      </c>
      <c r="C62" s="423">
        <f>C18*(C4+C5+C7+C8+C6+C9)</f>
        <v>0</v>
      </c>
      <c r="D62" s="422"/>
      <c r="E62" s="413">
        <f t="shared" si="1"/>
        <v>0</v>
      </c>
      <c r="F62" s="414"/>
      <c r="G62" s="385"/>
      <c r="H62" s="385"/>
      <c r="I62" s="385"/>
      <c r="J62" s="385"/>
      <c r="K62" s="385"/>
    </row>
    <row r="63" spans="2:11" ht="12" customHeight="1">
      <c r="B63" s="415" t="s">
        <v>654</v>
      </c>
      <c r="C63" s="423">
        <f>IF(C18=0,C4+C5+C7+C8+C6+C9,0)</f>
        <v>1</v>
      </c>
      <c r="D63" s="417"/>
      <c r="E63" s="413">
        <f t="shared" si="1"/>
        <v>0</v>
      </c>
      <c r="F63" s="414"/>
      <c r="G63" s="385"/>
      <c r="H63" s="385"/>
      <c r="I63" s="385"/>
      <c r="J63" s="385"/>
      <c r="K63" s="385"/>
    </row>
    <row r="64" spans="2:11" ht="12" customHeight="1">
      <c r="B64" s="415" t="s">
        <v>431</v>
      </c>
      <c r="C64" s="423">
        <f>(C7+C8+C9)*4</f>
        <v>4</v>
      </c>
      <c r="D64" s="417"/>
      <c r="E64" s="413">
        <f t="shared" si="1"/>
        <v>0</v>
      </c>
      <c r="F64" s="414"/>
      <c r="G64" s="385"/>
      <c r="H64" s="385"/>
      <c r="I64" s="385"/>
      <c r="J64" s="385"/>
      <c r="K64" s="385"/>
    </row>
    <row r="65" spans="2:11" ht="12" customHeight="1">
      <c r="B65" s="415" t="s">
        <v>655</v>
      </c>
      <c r="C65" s="423">
        <f>C17*(C4+C5+C7+C8+C6+C9)</f>
        <v>0</v>
      </c>
      <c r="D65" s="422"/>
      <c r="E65" s="413">
        <f t="shared" si="1"/>
        <v>0</v>
      </c>
      <c r="F65" s="414"/>
      <c r="G65" s="385"/>
      <c r="H65" s="385"/>
      <c r="I65" s="385"/>
      <c r="J65" s="385"/>
      <c r="K65" s="385"/>
    </row>
    <row r="66" spans="2:11" ht="12" customHeight="1">
      <c r="B66" s="415" t="s">
        <v>432</v>
      </c>
      <c r="C66" s="423">
        <f>IF(C17=1,(C4+C5+C7+C8+C6+C9)*C3*2+0.3,0)</f>
        <v>0</v>
      </c>
      <c r="D66" s="417"/>
      <c r="E66" s="413">
        <f t="shared" si="1"/>
        <v>0</v>
      </c>
      <c r="F66" s="414"/>
      <c r="G66" s="418"/>
      <c r="H66" s="385"/>
      <c r="I66" s="385"/>
      <c r="J66" s="385"/>
      <c r="K66" s="385"/>
    </row>
    <row r="67" spans="2:11" ht="12" customHeight="1">
      <c r="B67" s="415" t="s">
        <v>656</v>
      </c>
      <c r="C67" s="423">
        <f>IF(AND(C19=1,C17=1),(C4+C5+C7+C8+C6+C9)*2,0)</f>
        <v>0</v>
      </c>
      <c r="D67" s="417"/>
      <c r="E67" s="413">
        <f t="shared" si="1"/>
        <v>0</v>
      </c>
      <c r="F67" s="414"/>
      <c r="G67" s="385"/>
      <c r="H67" s="385"/>
      <c r="I67" s="385"/>
      <c r="J67" s="385"/>
      <c r="K67" s="385"/>
    </row>
    <row r="68" spans="2:11" ht="12" customHeight="1">
      <c r="B68" s="415" t="s">
        <v>657</v>
      </c>
      <c r="C68" s="423">
        <f>IF(C17=1,(C5+C7+C8+C4+C6+C9)*2,0)</f>
        <v>0</v>
      </c>
      <c r="D68" s="417"/>
      <c r="E68" s="413">
        <f t="shared" si="1"/>
        <v>0</v>
      </c>
      <c r="F68" s="414"/>
      <c r="G68" s="385"/>
      <c r="H68" s="385"/>
      <c r="I68" s="385"/>
      <c r="J68" s="385"/>
      <c r="K68" s="385"/>
    </row>
    <row r="69" spans="2:11" ht="12" customHeight="1">
      <c r="B69" s="415" t="s">
        <v>435</v>
      </c>
      <c r="C69" s="423">
        <f>C17*2*(C4+C5+C7+C8+C6+C9)</f>
        <v>0</v>
      </c>
      <c r="D69" s="417"/>
      <c r="E69" s="413">
        <f t="shared" si="1"/>
        <v>0</v>
      </c>
      <c r="F69" s="414"/>
      <c r="G69" s="385"/>
      <c r="H69" s="385"/>
      <c r="I69" s="385"/>
      <c r="J69" s="385"/>
      <c r="K69" s="385"/>
    </row>
    <row r="70" spans="2:11" ht="12" customHeight="1">
      <c r="B70" s="415" t="s">
        <v>483</v>
      </c>
      <c r="C70" s="423">
        <f>C17*(C4+C5+C7+C8+C6+C9)</f>
        <v>0</v>
      </c>
      <c r="D70" s="424"/>
      <c r="E70" s="413">
        <f t="shared" si="1"/>
        <v>0</v>
      </c>
      <c r="F70" s="414"/>
      <c r="G70" s="385"/>
      <c r="H70" s="385"/>
      <c r="I70" s="385"/>
      <c r="J70" s="385"/>
      <c r="K70" s="385"/>
    </row>
    <row r="71" spans="2:11" ht="12" customHeight="1">
      <c r="B71" s="415" t="s">
        <v>436</v>
      </c>
      <c r="C71" s="423">
        <f>C17*2*(C4+C5+C7+C8+C6+C9)</f>
        <v>0</v>
      </c>
      <c r="D71" s="424"/>
      <c r="E71" s="413">
        <f t="shared" si="1"/>
        <v>0</v>
      </c>
      <c r="F71" s="414"/>
      <c r="G71" s="385"/>
      <c r="H71" s="385"/>
      <c r="I71" s="385"/>
      <c r="J71" s="385"/>
      <c r="K71" s="385"/>
    </row>
    <row r="72" spans="2:11" ht="12" customHeight="1">
      <c r="B72" s="415" t="s">
        <v>437</v>
      </c>
      <c r="C72" s="423">
        <f>C17*4*(C4+C5+C7+C8+C6+C9)</f>
        <v>0</v>
      </c>
      <c r="D72" s="417"/>
      <c r="E72" s="413">
        <f t="shared" si="1"/>
        <v>0</v>
      </c>
      <c r="F72" s="414"/>
      <c r="G72" s="385"/>
      <c r="H72" s="385"/>
      <c r="I72" s="385"/>
      <c r="J72" s="385"/>
      <c r="K72" s="385"/>
    </row>
    <row r="73" spans="2:11" ht="12" customHeight="1">
      <c r="B73" s="415" t="s">
        <v>438</v>
      </c>
      <c r="C73" s="423">
        <f>C17*4*(C4+C5+C7+C8+C6+C9)</f>
        <v>0</v>
      </c>
      <c r="D73" s="417"/>
      <c r="E73" s="413">
        <f t="shared" si="1"/>
        <v>0</v>
      </c>
      <c r="F73" s="414"/>
      <c r="G73" s="385"/>
      <c r="H73" s="385"/>
      <c r="I73" s="385"/>
      <c r="J73" s="385"/>
      <c r="K73" s="385"/>
    </row>
    <row r="74" spans="2:11" ht="12" customHeight="1">
      <c r="B74" s="425" t="s">
        <v>385</v>
      </c>
      <c r="C74" s="423">
        <f>C10*(C4+C7)</f>
        <v>0</v>
      </c>
      <c r="D74" s="422"/>
      <c r="E74" s="413">
        <f t="shared" si="1"/>
        <v>0</v>
      </c>
      <c r="F74" s="414"/>
      <c r="G74" s="426"/>
      <c r="H74" s="426"/>
      <c r="I74" s="385"/>
      <c r="J74" s="385"/>
      <c r="K74" s="385"/>
    </row>
    <row r="75" spans="2:11" ht="12" customHeight="1">
      <c r="B75" s="425" t="s">
        <v>605</v>
      </c>
      <c r="C75" s="423">
        <f>C13*(C4+C7)</f>
        <v>0</v>
      </c>
      <c r="D75" s="422"/>
      <c r="E75" s="413">
        <f t="shared" si="1"/>
        <v>0</v>
      </c>
      <c r="F75" s="414"/>
      <c r="G75" s="427"/>
      <c r="H75" s="385"/>
      <c r="I75" s="385"/>
      <c r="J75" s="385"/>
      <c r="K75" s="385"/>
    </row>
    <row r="76" spans="2:11" ht="12" customHeight="1">
      <c r="B76" s="425" t="s">
        <v>443</v>
      </c>
      <c r="C76" s="423">
        <f>C11*(C5+C8)</f>
        <v>0</v>
      </c>
      <c r="D76" s="417"/>
      <c r="E76" s="413">
        <f t="shared" si="1"/>
        <v>0</v>
      </c>
      <c r="F76" s="414"/>
      <c r="G76" s="428"/>
      <c r="H76" s="385"/>
      <c r="I76" s="385"/>
      <c r="J76" s="385"/>
      <c r="K76" s="385"/>
    </row>
    <row r="77" spans="2:11" ht="12" customHeight="1">
      <c r="B77" s="425" t="s">
        <v>609</v>
      </c>
      <c r="C77" s="423">
        <f>C12*(C6+C9)</f>
        <v>1</v>
      </c>
      <c r="D77" s="417"/>
      <c r="E77" s="413">
        <f>C77*D77</f>
        <v>0</v>
      </c>
      <c r="F77" s="414"/>
      <c r="G77" s="428"/>
      <c r="H77" s="385"/>
      <c r="I77" s="385"/>
      <c r="J77" s="385"/>
      <c r="K77" s="385"/>
    </row>
    <row r="78" spans="2:11" ht="12" customHeight="1">
      <c r="B78" s="425" t="s">
        <v>610</v>
      </c>
      <c r="C78" s="423">
        <f>C15*(C6+C9)</f>
        <v>0</v>
      </c>
      <c r="D78" s="417"/>
      <c r="E78" s="413">
        <f>C78*D78</f>
        <v>0</v>
      </c>
      <c r="F78" s="414"/>
      <c r="G78" s="428"/>
      <c r="H78" s="385"/>
      <c r="I78" s="385"/>
      <c r="J78" s="385"/>
      <c r="K78" s="385"/>
    </row>
    <row r="79" spans="2:11" ht="12" customHeight="1">
      <c r="B79" s="594" t="s">
        <v>145</v>
      </c>
      <c r="C79" s="575">
        <f>C26</f>
        <v>0</v>
      </c>
      <c r="D79" s="591"/>
      <c r="E79" s="469">
        <f t="shared" ref="E79:E80" si="3">C79*D79</f>
        <v>0</v>
      </c>
      <c r="F79" s="414"/>
      <c r="G79" s="428"/>
      <c r="H79" s="385"/>
      <c r="I79" s="385"/>
      <c r="J79" s="385"/>
      <c r="K79" s="385"/>
    </row>
    <row r="80" spans="2:11" ht="12" customHeight="1">
      <c r="B80" s="520" t="s">
        <v>148</v>
      </c>
      <c r="C80" s="416">
        <f>C25</f>
        <v>0</v>
      </c>
      <c r="D80" s="422"/>
      <c r="E80" s="413">
        <f t="shared" si="3"/>
        <v>0</v>
      </c>
      <c r="F80" s="414"/>
      <c r="G80" s="428"/>
      <c r="H80" s="385"/>
      <c r="I80" s="385"/>
      <c r="J80" s="385"/>
      <c r="K80" s="385"/>
    </row>
    <row r="81" spans="1:11" ht="12" customHeight="1" thickBot="1">
      <c r="B81" s="454" t="s">
        <v>606</v>
      </c>
      <c r="C81" s="455">
        <f>C14*(C5+C8)</f>
        <v>0</v>
      </c>
      <c r="D81" s="456"/>
      <c r="E81" s="457">
        <f t="shared" si="1"/>
        <v>0</v>
      </c>
      <c r="F81" s="414"/>
      <c r="G81" s="428"/>
      <c r="H81" s="385"/>
      <c r="I81" s="385"/>
      <c r="J81" s="385"/>
      <c r="K81" s="385"/>
    </row>
    <row r="82" spans="1:11" ht="12" customHeight="1" thickBot="1">
      <c r="B82" s="385"/>
      <c r="C82" s="385"/>
      <c r="D82" s="453" t="s">
        <v>9</v>
      </c>
      <c r="E82" s="458">
        <f>SUMIF(E29:E81,"&gt;0",E29:E81)</f>
        <v>0</v>
      </c>
      <c r="F82" s="429"/>
      <c r="G82" s="428"/>
      <c r="H82" s="385"/>
      <c r="I82" s="385"/>
      <c r="J82" s="385"/>
      <c r="K82" s="385"/>
    </row>
    <row r="83" spans="1:11" ht="12" customHeight="1">
      <c r="B83" s="385"/>
      <c r="C83" s="385"/>
      <c r="D83" s="385"/>
      <c r="E83" s="385"/>
      <c r="F83" s="385"/>
      <c r="G83" s="428"/>
      <c r="H83" s="385"/>
      <c r="I83" s="385"/>
      <c r="J83" s="385"/>
      <c r="K83" s="385"/>
    </row>
    <row r="84" spans="1:11" ht="12" customHeight="1">
      <c r="B84" s="430"/>
      <c r="C84" s="430"/>
      <c r="D84" s="430"/>
      <c r="E84" s="430"/>
      <c r="F84" s="431"/>
      <c r="G84" s="431"/>
      <c r="H84" s="393"/>
      <c r="I84" s="385"/>
      <c r="J84" s="385"/>
      <c r="K84" s="385"/>
    </row>
    <row r="85" spans="1:11" ht="12" customHeight="1">
      <c r="A85" s="375"/>
      <c r="B85" s="403"/>
      <c r="C85" s="404"/>
      <c r="D85" s="405"/>
      <c r="E85" s="406"/>
      <c r="F85" s="406"/>
      <c r="G85" s="385"/>
      <c r="H85" s="385"/>
      <c r="I85" s="385"/>
      <c r="J85" s="385"/>
      <c r="K85" s="385"/>
    </row>
    <row r="86" spans="1:11" ht="12" customHeight="1">
      <c r="A86" s="375"/>
      <c r="B86" s="312"/>
      <c r="C86" s="382"/>
      <c r="D86" s="380"/>
      <c r="E86" s="376"/>
      <c r="F86" s="376"/>
    </row>
    <row r="87" spans="1:11" ht="12" customHeight="1">
      <c r="A87" s="375"/>
      <c r="B87" s="312"/>
      <c r="C87" s="382"/>
      <c r="D87" s="380"/>
      <c r="E87" s="376"/>
      <c r="F87" s="376"/>
    </row>
    <row r="88" spans="1:11" ht="12" customHeight="1">
      <c r="A88" s="375"/>
      <c r="B88" s="312"/>
      <c r="C88" s="382"/>
      <c r="D88" s="380"/>
      <c r="E88" s="376"/>
      <c r="F88" s="376"/>
    </row>
    <row r="89" spans="1:11" ht="12" customHeight="1">
      <c r="A89" s="375"/>
      <c r="B89" s="312"/>
      <c r="C89" s="382"/>
      <c r="D89" s="380"/>
      <c r="E89" s="376"/>
      <c r="F89" s="376"/>
    </row>
    <row r="90" spans="1:11" ht="12" customHeight="1">
      <c r="A90" s="375"/>
      <c r="B90" s="312"/>
      <c r="C90" s="382"/>
      <c r="D90" s="380"/>
      <c r="E90" s="376"/>
      <c r="F90" s="376"/>
    </row>
    <row r="91" spans="1:11" ht="12" customHeight="1">
      <c r="A91" s="375"/>
      <c r="B91" s="378"/>
      <c r="C91" s="382"/>
      <c r="D91" s="379"/>
      <c r="E91" s="376"/>
      <c r="F91" s="376"/>
    </row>
    <row r="92" spans="1:11" ht="12" customHeight="1">
      <c r="A92" s="375"/>
      <c r="B92" s="378"/>
      <c r="C92" s="382"/>
      <c r="D92" s="379"/>
      <c r="E92" s="376"/>
      <c r="F92" s="376"/>
    </row>
    <row r="93" spans="1:11" ht="12" customHeight="1">
      <c r="A93" s="375"/>
      <c r="B93" s="378"/>
      <c r="C93" s="382"/>
      <c r="D93" s="379"/>
      <c r="E93" s="376"/>
      <c r="F93" s="376"/>
    </row>
    <row r="94" spans="1:11" ht="12" customHeight="1">
      <c r="A94" s="375"/>
      <c r="B94" s="378"/>
      <c r="C94" s="382"/>
      <c r="D94" s="381"/>
      <c r="E94" s="376"/>
      <c r="F94" s="376"/>
    </row>
    <row r="95" spans="1:11" ht="12" customHeight="1">
      <c r="A95" s="375"/>
      <c r="B95" s="378"/>
      <c r="C95" s="382"/>
      <c r="D95" s="381"/>
      <c r="E95" s="376"/>
      <c r="F95" s="376"/>
    </row>
    <row r="96" spans="1:11" ht="12" customHeight="1">
      <c r="A96" s="375"/>
      <c r="B96" s="378"/>
      <c r="C96" s="382"/>
      <c r="D96" s="381"/>
      <c r="E96" s="376"/>
      <c r="F96" s="376"/>
    </row>
    <row r="97" spans="1:6" ht="12" customHeight="1">
      <c r="A97" s="375"/>
      <c r="B97" s="378"/>
      <c r="C97" s="382"/>
      <c r="D97" s="379"/>
      <c r="E97" s="376"/>
      <c r="F97" s="376"/>
    </row>
    <row r="98" spans="1:6" ht="12" customHeight="1">
      <c r="A98" s="375"/>
      <c r="B98" s="378"/>
      <c r="C98" s="382"/>
      <c r="D98" s="379"/>
      <c r="E98" s="376"/>
      <c r="F98" s="376"/>
    </row>
    <row r="99" spans="1:6" ht="12" customHeight="1">
      <c r="A99" s="375"/>
      <c r="B99" s="378"/>
      <c r="C99" s="382"/>
      <c r="D99" s="379"/>
      <c r="E99" s="376"/>
      <c r="F99" s="376"/>
    </row>
    <row r="100" spans="1:6" ht="12" customHeight="1">
      <c r="B100" s="312"/>
      <c r="C100" s="312"/>
      <c r="D100" s="320"/>
      <c r="E100" s="383"/>
      <c r="F100" s="328"/>
    </row>
    <row r="101" spans="1:6" ht="12" customHeight="1"/>
    <row r="102" spans="1:6" ht="12" customHeight="1"/>
  </sheetData>
  <sheetProtection algorithmName="SHA-512" hashValue="jSfffEcBnQ3ycUz3r70rjDk5JvS8GJQ4BDLyHu3pADRdcABjR5hyqYQ284w5WDQBu4KM5njm9iqDCiAx89FQ5A==" saltValue="vLNAc+UqrrT6BlDmbefEs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429" priority="72" operator="equal">
      <formula>"ДА"</formula>
    </cfRule>
    <cfRule type="cellIs" dxfId="428" priority="73" operator="equal">
      <formula>"НЕТ"</formula>
    </cfRule>
  </conditionalFormatting>
  <conditionalFormatting sqref="C85:C86 C92:C94 C88:C90 C97:C99">
    <cfRule type="cellIs" dxfId="427" priority="69" operator="equal">
      <formula>"ДА"</formula>
    </cfRule>
    <cfRule type="cellIs" dxfId="426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425" priority="66" operator="equal">
      <formula>"ДА"</formula>
    </cfRule>
    <cfRule type="cellIs" dxfId="424" priority="67" operator="equal">
      <formula>"НЕТ"</formula>
    </cfRule>
  </conditionalFormatting>
  <conditionalFormatting sqref="C87">
    <cfRule type="cellIs" dxfId="423" priority="63" operator="equal">
      <formula>"ДА"</formula>
    </cfRule>
    <cfRule type="cellIs" dxfId="422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421" priority="59" operator="equal">
      <formula>"ДА"</formula>
    </cfRule>
    <cfRule type="cellIs" dxfId="420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419" priority="55" operator="equal">
      <formula>"ДА"</formula>
    </cfRule>
    <cfRule type="cellIs" dxfId="418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417" priority="49" operator="equal">
      <formula>"ДА"</formula>
    </cfRule>
    <cfRule type="cellIs" dxfId="416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415" priority="29" operator="equal">
      <formula>"ДА"</formula>
    </cfRule>
    <cfRule type="cellIs" dxfId="414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3" priority="26" operator="equal">
      <formula>"ДА"</formula>
    </cfRule>
    <cfRule type="cellIs" dxfId="412" priority="27" operator="equal">
      <formula>"НЕТ"</formula>
    </cfRule>
  </conditionalFormatting>
  <conditionalFormatting sqref="I5">
    <cfRule type="cellIs" dxfId="411" priority="23" operator="equal">
      <formula>"ДА"</formula>
    </cfRule>
    <cfRule type="cellIs" dxfId="410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09" priority="19" operator="equal">
      <formula>"ДА"</formula>
    </cfRule>
    <cfRule type="cellIs" dxfId="408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407" priority="15" operator="equal">
      <formula>"ДА"</formula>
    </cfRule>
    <cfRule type="cellIs" dxfId="406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405" priority="11" operator="equal">
      <formula>"ДА"</formula>
    </cfRule>
    <cfRule type="cellIs" dxfId="404" priority="12" operator="equal">
      <formula>"НЕТ"</formula>
    </cfRule>
  </conditionalFormatting>
  <conditionalFormatting sqref="I19">
    <cfRule type="cellIs" dxfId="403" priority="9" operator="equal">
      <formula>"ДА"</formula>
    </cfRule>
    <cfRule type="cellIs" dxfId="402" priority="10" operator="equal">
      <formula>"НЕТ"</formula>
    </cfRule>
  </conditionalFormatting>
  <conditionalFormatting sqref="K3:K19 C29:E78">
    <cfRule type="cellIs" dxfId="401" priority="8" operator="greaterThan">
      <formula>0</formula>
    </cfRule>
  </conditionalFormatting>
  <conditionalFormatting sqref="J3:J19">
    <cfRule type="cellIs" dxfId="400" priority="4" operator="greaterThan">
      <formula>0</formula>
    </cfRule>
    <cfRule type="cellIs" dxfId="399" priority="7" operator="greaterThan">
      <formula>0</formula>
    </cfRule>
  </conditionalFormatting>
  <conditionalFormatting sqref="C81:E81">
    <cfRule type="cellIs" dxfId="398" priority="6" operator="greaterThan">
      <formula>0</formula>
    </cfRule>
  </conditionalFormatting>
  <conditionalFormatting sqref="E82">
    <cfRule type="cellIs" dxfId="397" priority="5" operator="greaterThan">
      <formula>0</formula>
    </cfRule>
  </conditionalFormatting>
  <conditionalFormatting sqref="C2:C24">
    <cfRule type="cellIs" dxfId="396" priority="3" operator="greaterThan">
      <formula>0</formula>
    </cfRule>
  </conditionalFormatting>
  <conditionalFormatting sqref="C25:C26">
    <cfRule type="cellIs" dxfId="395" priority="2" operator="greaterThan">
      <formula>0</formula>
    </cfRule>
  </conditionalFormatting>
  <conditionalFormatting sqref="C79:E80">
    <cfRule type="cellIs" dxfId="39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F41" sqref="F41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508"/>
      <c r="B1" s="1154"/>
      <c r="C1" s="1155"/>
      <c r="D1" s="1155"/>
      <c r="E1" s="1155"/>
      <c r="F1" s="508"/>
      <c r="G1" s="474"/>
      <c r="H1" s="474"/>
      <c r="I1" s="474"/>
      <c r="J1" s="474"/>
      <c r="K1" s="474"/>
      <c r="L1" s="474"/>
    </row>
    <row r="2" spans="1:13" ht="11.25" customHeight="1" thickBot="1">
      <c r="A2" s="508"/>
      <c r="B2" s="476" t="s">
        <v>10</v>
      </c>
      <c r="C2" s="527">
        <v>0</v>
      </c>
      <c r="D2" s="1116" t="s">
        <v>602</v>
      </c>
      <c r="E2" s="1117"/>
      <c r="F2" s="1118"/>
      <c r="G2" s="474"/>
      <c r="H2" s="478" t="s">
        <v>492</v>
      </c>
      <c r="I2" s="691" t="s">
        <v>611</v>
      </c>
      <c r="J2" s="479" t="s">
        <v>4</v>
      </c>
      <c r="K2" s="480" t="s">
        <v>8</v>
      </c>
      <c r="L2" s="474"/>
    </row>
    <row r="3" spans="1:13" ht="13.5" thickBot="1">
      <c r="A3" s="508"/>
      <c r="B3" s="481" t="s">
        <v>1</v>
      </c>
      <c r="C3" s="528">
        <v>0</v>
      </c>
      <c r="D3" s="1119"/>
      <c r="E3" s="1120"/>
      <c r="F3" s="1121"/>
      <c r="G3" s="474"/>
      <c r="H3" s="482" t="s">
        <v>496</v>
      </c>
      <c r="I3" s="692" t="str">
        <f>IF(AND($C$6+$C$7=1,$C$8+$C$9=0,$C$10=1),"ДА","НЕТ")</f>
        <v>НЕТ</v>
      </c>
      <c r="J3" s="387"/>
      <c r="K3" s="388">
        <f>IF(I3="ДА",($C$4+$C$5)*J3,0)</f>
        <v>0</v>
      </c>
      <c r="L3" s="474"/>
    </row>
    <row r="4" spans="1:13" ht="12.75" customHeight="1">
      <c r="A4" s="508"/>
      <c r="B4" s="488" t="s">
        <v>420</v>
      </c>
      <c r="C4" s="618">
        <v>0</v>
      </c>
      <c r="D4" s="1116" t="s">
        <v>604</v>
      </c>
      <c r="E4" s="1117"/>
      <c r="F4" s="1118"/>
      <c r="G4" s="555"/>
      <c r="H4" s="487" t="s">
        <v>493</v>
      </c>
      <c r="I4" s="693" t="str">
        <f>IF(AND($C$6+$C$7=1,$C$8+$C$9=0,$C$10=3),"ДА","НЕТ")</f>
        <v>НЕТ</v>
      </c>
      <c r="J4" s="391"/>
      <c r="K4" s="388">
        <f t="shared" ref="K4:K15" si="0">IF(I4="ДА",($C$4+$C$5)*J4,0)</f>
        <v>0</v>
      </c>
      <c r="L4" s="555"/>
    </row>
    <row r="5" spans="1:13" ht="13.5" thickBot="1">
      <c r="A5" s="508"/>
      <c r="B5" s="509" t="s">
        <v>421</v>
      </c>
      <c r="C5" s="619">
        <v>0</v>
      </c>
      <c r="D5" s="1119"/>
      <c r="E5" s="1120"/>
      <c r="F5" s="1121"/>
      <c r="G5" s="592"/>
      <c r="H5" s="487" t="s">
        <v>598</v>
      </c>
      <c r="I5" s="693" t="str">
        <f>IF(AND($C$6+$C$7=1,$C$8+$C$9=0,$C$10=3),"ДА","НЕТ")</f>
        <v>НЕТ</v>
      </c>
      <c r="J5" s="391"/>
      <c r="K5" s="388">
        <f t="shared" si="0"/>
        <v>0</v>
      </c>
      <c r="L5" s="592"/>
      <c r="M5" s="312"/>
    </row>
    <row r="6" spans="1:13" ht="12.75" customHeight="1">
      <c r="A6" s="508"/>
      <c r="B6" s="476" t="s">
        <v>505</v>
      </c>
      <c r="C6" s="533">
        <v>0</v>
      </c>
      <c r="D6" s="489" t="s">
        <v>294</v>
      </c>
      <c r="E6" s="694" t="s">
        <v>256</v>
      </c>
      <c r="F6" s="1124" t="s">
        <v>604</v>
      </c>
      <c r="G6" s="592"/>
      <c r="H6" s="487" t="s">
        <v>494</v>
      </c>
      <c r="I6" s="693" t="str">
        <f>IF(AND($C$6+$C$7=1,$C$8+$C$9=0,$C$10=2),"ДА","НЕТ")</f>
        <v>НЕТ</v>
      </c>
      <c r="J6" s="391"/>
      <c r="K6" s="388">
        <f t="shared" si="0"/>
        <v>0</v>
      </c>
      <c r="L6" s="592"/>
      <c r="M6" s="312"/>
    </row>
    <row r="7" spans="1:13" ht="12.75">
      <c r="A7" s="508"/>
      <c r="B7" s="486" t="s">
        <v>506</v>
      </c>
      <c r="C7" s="530">
        <v>0</v>
      </c>
      <c r="D7" s="493" t="s">
        <v>294</v>
      </c>
      <c r="E7" s="493" t="s">
        <v>256</v>
      </c>
      <c r="F7" s="1125"/>
      <c r="G7" s="592"/>
      <c r="H7" s="487" t="s">
        <v>495</v>
      </c>
      <c r="I7" s="693" t="str">
        <f>IF(AND($C$6+$C$7=1,$C$8+$C$9=0,$C$10=2),"ДА","НЕТ")</f>
        <v>НЕТ</v>
      </c>
      <c r="J7" s="391"/>
      <c r="K7" s="388">
        <f t="shared" si="0"/>
        <v>0</v>
      </c>
      <c r="L7" s="592"/>
      <c r="M7" s="312"/>
    </row>
    <row r="8" spans="1:13" ht="12.75">
      <c r="A8" s="508"/>
      <c r="B8" s="486" t="s">
        <v>507</v>
      </c>
      <c r="C8" s="530">
        <v>0</v>
      </c>
      <c r="D8" s="493" t="s">
        <v>294</v>
      </c>
      <c r="E8" s="493" t="s">
        <v>256</v>
      </c>
      <c r="F8" s="1125"/>
      <c r="G8" s="592"/>
      <c r="H8" s="487" t="s">
        <v>501</v>
      </c>
      <c r="I8" s="693" t="str">
        <f>IF(AND($C$6+$C$7=1,$C$8+$C$9=0,$C$10=2),"ДА","НЕТ")</f>
        <v>НЕТ</v>
      </c>
      <c r="J8" s="391"/>
      <c r="K8" s="388">
        <f t="shared" si="0"/>
        <v>0</v>
      </c>
      <c r="L8" s="592"/>
      <c r="M8" s="312"/>
    </row>
    <row r="9" spans="1:13" ht="13.5" thickBot="1">
      <c r="A9" s="508"/>
      <c r="B9" s="559" t="s">
        <v>508</v>
      </c>
      <c r="C9" s="541">
        <v>0</v>
      </c>
      <c r="D9" s="695" t="s">
        <v>294</v>
      </c>
      <c r="E9" s="586" t="s">
        <v>256</v>
      </c>
      <c r="F9" s="1126"/>
      <c r="G9" s="592"/>
      <c r="H9" s="482" t="s">
        <v>597</v>
      </c>
      <c r="I9" s="693" t="str">
        <f>IF(AND($C$6+$C$7=1,$C$8+$C$9=0,$C$10=1),"ДА","НЕТ")</f>
        <v>НЕТ</v>
      </c>
      <c r="J9" s="387"/>
      <c r="K9" s="388">
        <f t="shared" si="0"/>
        <v>0</v>
      </c>
      <c r="L9" s="592"/>
      <c r="M9" s="312"/>
    </row>
    <row r="10" spans="1:13" ht="13.5" thickBot="1">
      <c r="A10" s="508"/>
      <c r="B10" s="498" t="s">
        <v>596</v>
      </c>
      <c r="C10" s="617"/>
      <c r="D10" s="502" t="s">
        <v>626</v>
      </c>
      <c r="E10" s="502" t="s">
        <v>627</v>
      </c>
      <c r="F10" s="696" t="s">
        <v>628</v>
      </c>
      <c r="G10" s="592"/>
      <c r="H10" s="482" t="s">
        <v>390</v>
      </c>
      <c r="I10" s="693" t="str">
        <f>IF(AND($C$6+$C$7=0,$C$8+$C$9=1,$C$10=1),"ДА","НЕТ")</f>
        <v>НЕТ</v>
      </c>
      <c r="J10" s="394"/>
      <c r="K10" s="388">
        <f t="shared" si="0"/>
        <v>0</v>
      </c>
      <c r="L10" s="592"/>
      <c r="M10" s="312"/>
    </row>
    <row r="11" spans="1:13" ht="12.75">
      <c r="A11" s="508"/>
      <c r="B11" s="488" t="s">
        <v>400</v>
      </c>
      <c r="C11" s="531">
        <v>0</v>
      </c>
      <c r="D11" s="697" t="s">
        <v>401</v>
      </c>
      <c r="E11" s="491" t="s">
        <v>402</v>
      </c>
      <c r="F11" s="1156"/>
      <c r="G11" s="474"/>
      <c r="H11" s="485" t="s">
        <v>391</v>
      </c>
      <c r="I11" s="693" t="str">
        <f>IF(AND($C$6+$C$7=0,$C$8+$C$9=1,$C$10=1),"ДА","НЕТ")</f>
        <v>НЕТ</v>
      </c>
      <c r="J11" s="394"/>
      <c r="K11" s="388">
        <f t="shared" si="0"/>
        <v>0</v>
      </c>
      <c r="L11" s="474"/>
    </row>
    <row r="12" spans="1:13" ht="13.5" thickBot="1">
      <c r="A12" s="508"/>
      <c r="B12" s="559" t="s">
        <v>365</v>
      </c>
      <c r="C12" s="541">
        <v>0</v>
      </c>
      <c r="D12" s="560" t="s">
        <v>424</v>
      </c>
      <c r="E12" s="560" t="s">
        <v>425</v>
      </c>
      <c r="F12" s="1157"/>
      <c r="G12" s="474"/>
      <c r="H12" s="485" t="s">
        <v>392</v>
      </c>
      <c r="I12" s="693" t="str">
        <f>IF(AND($C$6+$C$7=0,$C$8+$C$9=1,$C$10=1),"ДА","НЕТ")</f>
        <v>НЕТ</v>
      </c>
      <c r="J12" s="397"/>
      <c r="K12" s="388">
        <f t="shared" si="0"/>
        <v>0</v>
      </c>
      <c r="L12" s="474"/>
    </row>
    <row r="13" spans="1:13" ht="12.75" customHeight="1">
      <c r="A13" s="508"/>
      <c r="B13" s="476" t="s">
        <v>404</v>
      </c>
      <c r="C13" s="533">
        <v>0</v>
      </c>
      <c r="D13" s="489" t="s">
        <v>294</v>
      </c>
      <c r="E13" s="489" t="s">
        <v>256</v>
      </c>
      <c r="F13" s="1137" t="s">
        <v>604</v>
      </c>
      <c r="G13" s="474"/>
      <c r="H13" s="482" t="s">
        <v>395</v>
      </c>
      <c r="I13" s="693" t="str">
        <f>IF(AND($C$6+$C$7=0,$C$8+$C$9=1,$C$10=2),"ДА","НЕТ")</f>
        <v>НЕТ</v>
      </c>
      <c r="J13" s="394"/>
      <c r="K13" s="388">
        <f t="shared" si="0"/>
        <v>0</v>
      </c>
      <c r="L13" s="474"/>
    </row>
    <row r="14" spans="1:13" ht="13.5" thickBot="1">
      <c r="A14" s="508"/>
      <c r="B14" s="481" t="s">
        <v>405</v>
      </c>
      <c r="C14" s="532">
        <v>0</v>
      </c>
      <c r="D14" s="556" t="s">
        <v>294</v>
      </c>
      <c r="E14" s="556" t="s">
        <v>256</v>
      </c>
      <c r="F14" s="1138"/>
      <c r="G14" s="699"/>
      <c r="H14" s="485" t="s">
        <v>396</v>
      </c>
      <c r="I14" s="693" t="str">
        <f>IF(AND($C$6+$C$7=0,$C$8+$C$9=1,$C$10=2),"ДА","НЕТ")</f>
        <v>НЕТ</v>
      </c>
      <c r="J14" s="394"/>
      <c r="K14" s="388">
        <f t="shared" si="0"/>
        <v>0</v>
      </c>
      <c r="L14" s="699"/>
    </row>
    <row r="15" spans="1:13" ht="12.75">
      <c r="A15" s="508"/>
      <c r="B15" s="799" t="s">
        <v>147</v>
      </c>
      <c r="C15" s="533">
        <v>0</v>
      </c>
      <c r="D15" s="1128" t="s">
        <v>693</v>
      </c>
      <c r="E15" s="1128"/>
      <c r="F15" s="1129"/>
      <c r="G15" s="474"/>
      <c r="H15" s="485" t="s">
        <v>397</v>
      </c>
      <c r="I15" s="693" t="str">
        <f>IF(AND($C$6+$C$7=0,$C$8+$C$9=1,$C$10=2),"ДА","НЕТ")</f>
        <v>НЕТ</v>
      </c>
      <c r="J15" s="394"/>
      <c r="K15" s="388">
        <f t="shared" si="0"/>
        <v>0</v>
      </c>
      <c r="L15" s="474"/>
    </row>
    <row r="16" spans="1:13" ht="13.5" thickBot="1">
      <c r="A16" s="508"/>
      <c r="B16" s="800" t="s">
        <v>146</v>
      </c>
      <c r="C16" s="532">
        <v>0</v>
      </c>
      <c r="D16" s="1134" t="s">
        <v>694</v>
      </c>
      <c r="E16" s="1134"/>
      <c r="F16" s="1135"/>
      <c r="G16" s="474"/>
      <c r="H16" s="633"/>
      <c r="I16" s="798"/>
      <c r="J16" s="405"/>
      <c r="K16" s="406"/>
      <c r="L16" s="474"/>
    </row>
    <row r="17" spans="1:12" ht="13.5" thickBot="1">
      <c r="A17" s="508"/>
      <c r="B17" s="793"/>
      <c r="C17" s="793"/>
      <c r="D17" s="793"/>
      <c r="E17" s="793"/>
      <c r="F17" s="508"/>
      <c r="G17" s="474"/>
      <c r="H17" s="633"/>
      <c r="I17" s="798"/>
      <c r="J17" s="405"/>
      <c r="K17" s="406"/>
      <c r="L17" s="474"/>
    </row>
    <row r="18" spans="1:12" ht="12.75">
      <c r="A18" s="508"/>
      <c r="B18" s="513" t="s">
        <v>5</v>
      </c>
      <c r="C18" s="514" t="s">
        <v>0</v>
      </c>
      <c r="D18" s="700" t="s">
        <v>4</v>
      </c>
      <c r="E18" s="516" t="s">
        <v>8</v>
      </c>
      <c r="F18" s="508"/>
      <c r="G18" s="474"/>
      <c r="H18" s="474"/>
      <c r="I18" s="474"/>
      <c r="J18" s="474"/>
      <c r="K18" s="474"/>
      <c r="L18" s="474"/>
    </row>
    <row r="19" spans="1:12">
      <c r="A19" s="508"/>
      <c r="B19" s="520" t="s">
        <v>648</v>
      </c>
      <c r="C19" s="416">
        <f>EVEN(ROUNDDOWN(IF(C4+C5&gt;0.9,(C4+C5)*C2/0.5,0),0))</f>
        <v>0</v>
      </c>
      <c r="D19" s="417"/>
      <c r="E19" s="413">
        <f>C19*D19</f>
        <v>0</v>
      </c>
      <c r="F19" s="510"/>
      <c r="G19" s="558"/>
      <c r="H19" s="474"/>
      <c r="I19" s="474"/>
      <c r="J19" s="474"/>
      <c r="K19" s="474"/>
      <c r="L19" s="474"/>
    </row>
    <row r="20" spans="1:12">
      <c r="A20" s="508"/>
      <c r="B20" s="520" t="s">
        <v>427</v>
      </c>
      <c r="C20" s="416">
        <f>IF(AND(C6+C7&gt;0,C8+C9=0,C12=0),(C4+C5)*2,0)</f>
        <v>0</v>
      </c>
      <c r="D20" s="417"/>
      <c r="E20" s="413">
        <f t="shared" ref="E20:E25" si="1">C20*D20</f>
        <v>0</v>
      </c>
      <c r="F20" s="519"/>
      <c r="G20" s="701"/>
      <c r="H20" s="474"/>
      <c r="I20" s="474"/>
      <c r="J20" s="474"/>
      <c r="K20" s="474"/>
      <c r="L20" s="474"/>
    </row>
    <row r="21" spans="1:12">
      <c r="A21" s="508"/>
      <c r="B21" s="520" t="s">
        <v>428</v>
      </c>
      <c r="C21" s="419">
        <f>IF(AND(C6+C7&gt;0,C8+C9=0,C12=1),(C4+C5)*2,0)</f>
        <v>0</v>
      </c>
      <c r="D21" s="420"/>
      <c r="E21" s="413">
        <f t="shared" si="1"/>
        <v>0</v>
      </c>
      <c r="F21" s="702"/>
      <c r="G21" s="701"/>
      <c r="H21" s="474"/>
      <c r="I21" s="474"/>
      <c r="J21" s="474"/>
      <c r="K21" s="474"/>
      <c r="L21" s="474"/>
    </row>
    <row r="22" spans="1:12">
      <c r="A22" s="508"/>
      <c r="B22" s="520" t="s">
        <v>427</v>
      </c>
      <c r="C22" s="416">
        <f>IF(AND(C6+C7=0,C8+C9&gt;0,C12=0),(C4+C5),0)</f>
        <v>0</v>
      </c>
      <c r="D22" s="417"/>
      <c r="E22" s="413">
        <f t="shared" si="1"/>
        <v>0</v>
      </c>
      <c r="F22" s="508"/>
      <c r="G22" s="474"/>
      <c r="H22" s="474"/>
      <c r="I22" s="474"/>
      <c r="J22" s="474"/>
      <c r="K22" s="474"/>
      <c r="L22" s="474"/>
    </row>
    <row r="23" spans="1:12">
      <c r="A23" s="508"/>
      <c r="B23" s="520" t="s">
        <v>428</v>
      </c>
      <c r="C23" s="419">
        <f>IF(AND(C6+C7=0,C8+C9&gt;0,C12=1),(C4+C5),0)</f>
        <v>0</v>
      </c>
      <c r="D23" s="420"/>
      <c r="E23" s="413">
        <f t="shared" si="1"/>
        <v>0</v>
      </c>
      <c r="F23" s="508"/>
      <c r="G23" s="474"/>
      <c r="H23" s="474"/>
      <c r="I23" s="474"/>
      <c r="J23" s="474"/>
      <c r="K23" s="474"/>
      <c r="L23" s="474"/>
    </row>
    <row r="24" spans="1:12">
      <c r="A24" s="508"/>
      <c r="B24" s="520" t="s">
        <v>518</v>
      </c>
      <c r="C24" s="416">
        <f>IF(AND(C6+C7=0,C8+C9&gt;0,C12=0),(C4+C5),0)</f>
        <v>0</v>
      </c>
      <c r="D24" s="417"/>
      <c r="E24" s="413">
        <f t="shared" si="1"/>
        <v>0</v>
      </c>
      <c r="F24" s="508"/>
      <c r="G24" s="474"/>
      <c r="H24" s="474"/>
      <c r="I24" s="474"/>
      <c r="J24" s="474"/>
      <c r="K24" s="474"/>
      <c r="L24" s="474"/>
    </row>
    <row r="25" spans="1:12">
      <c r="A25" s="508"/>
      <c r="B25" s="520" t="s">
        <v>519</v>
      </c>
      <c r="C25" s="419">
        <f>IF(AND(C6+C7=0,C8+C9&gt;0,C12=1),(C4+C5),0)</f>
        <v>0</v>
      </c>
      <c r="D25" s="420"/>
      <c r="E25" s="413">
        <f t="shared" si="1"/>
        <v>0</v>
      </c>
      <c r="F25" s="512"/>
      <c r="G25" s="474"/>
      <c r="H25" s="474"/>
      <c r="I25" s="474"/>
      <c r="J25" s="474"/>
      <c r="K25" s="474"/>
      <c r="L25" s="474"/>
    </row>
    <row r="26" spans="1:12">
      <c r="A26" s="508"/>
      <c r="B26" s="520" t="s">
        <v>650</v>
      </c>
      <c r="C26" s="419">
        <f>(C4+C5)*2</f>
        <v>0</v>
      </c>
      <c r="D26" s="420"/>
      <c r="E26" s="413">
        <f t="shared" ref="E26:E46" si="2">C26*D26</f>
        <v>0</v>
      </c>
      <c r="F26" s="508"/>
      <c r="G26" s="474"/>
      <c r="H26" s="474"/>
      <c r="I26" s="474"/>
      <c r="J26" s="474"/>
      <c r="K26" s="474"/>
      <c r="L26" s="474"/>
    </row>
    <row r="27" spans="1:12">
      <c r="A27" s="508"/>
      <c r="B27" s="520" t="s">
        <v>439</v>
      </c>
      <c r="C27" s="411">
        <f>C4</f>
        <v>0</v>
      </c>
      <c r="D27" s="412"/>
      <c r="E27" s="413">
        <f t="shared" si="2"/>
        <v>0</v>
      </c>
      <c r="F27" s="508"/>
      <c r="G27" s="474"/>
      <c r="H27" s="474"/>
      <c r="I27" s="474"/>
      <c r="J27" s="474"/>
      <c r="K27" s="474"/>
      <c r="L27" s="474"/>
    </row>
    <row r="28" spans="1:12">
      <c r="A28" s="508"/>
      <c r="B28" s="520" t="s">
        <v>440</v>
      </c>
      <c r="C28" s="416">
        <f>C4*2</f>
        <v>0</v>
      </c>
      <c r="D28" s="417"/>
      <c r="E28" s="413">
        <f t="shared" si="2"/>
        <v>0</v>
      </c>
      <c r="F28" s="508"/>
      <c r="G28" s="474"/>
      <c r="H28" s="474"/>
      <c r="I28" s="474"/>
      <c r="J28" s="474"/>
      <c r="K28" s="474"/>
      <c r="L28" s="474"/>
    </row>
    <row r="29" spans="1:12">
      <c r="A29" s="508"/>
      <c r="B29" s="520" t="s">
        <v>441</v>
      </c>
      <c r="C29" s="416">
        <f>C5</f>
        <v>0</v>
      </c>
      <c r="D29" s="417"/>
      <c r="E29" s="413">
        <f t="shared" si="2"/>
        <v>0</v>
      </c>
      <c r="F29" s="508"/>
      <c r="G29" s="474"/>
      <c r="H29" s="474"/>
      <c r="I29" s="474"/>
      <c r="J29" s="474"/>
      <c r="K29" s="474"/>
      <c r="L29" s="474"/>
    </row>
    <row r="30" spans="1:12">
      <c r="A30" s="508"/>
      <c r="B30" s="520" t="s">
        <v>658</v>
      </c>
      <c r="C30" s="416">
        <f>(C4+C5)*2</f>
        <v>0</v>
      </c>
      <c r="D30" s="417"/>
      <c r="E30" s="413">
        <f t="shared" si="2"/>
        <v>0</v>
      </c>
      <c r="F30" s="508"/>
      <c r="G30" s="474"/>
      <c r="H30" s="474"/>
      <c r="I30" s="474"/>
      <c r="J30" s="474"/>
      <c r="K30" s="474"/>
      <c r="L30" s="474"/>
    </row>
    <row r="31" spans="1:12">
      <c r="A31" s="508"/>
      <c r="B31" s="518" t="s">
        <v>481</v>
      </c>
      <c r="C31" s="416">
        <f>(C4+C5)*C2*2</f>
        <v>0</v>
      </c>
      <c r="D31" s="417"/>
      <c r="E31" s="413">
        <f t="shared" si="2"/>
        <v>0</v>
      </c>
      <c r="F31" s="508"/>
      <c r="G31" s="474"/>
      <c r="H31" s="474"/>
      <c r="I31" s="474"/>
      <c r="J31" s="474"/>
      <c r="K31" s="474"/>
      <c r="L31" s="474"/>
    </row>
    <row r="32" spans="1:12">
      <c r="A32" s="508"/>
      <c r="B32" s="520" t="s">
        <v>408</v>
      </c>
      <c r="C32" s="416">
        <f>(C4+C5)*C2</f>
        <v>0</v>
      </c>
      <c r="D32" s="422"/>
      <c r="E32" s="413">
        <f t="shared" si="2"/>
        <v>0</v>
      </c>
      <c r="F32" s="508"/>
      <c r="G32" s="474"/>
      <c r="H32" s="474"/>
      <c r="I32" s="474"/>
      <c r="J32" s="474"/>
      <c r="K32" s="474"/>
      <c r="L32" s="474"/>
    </row>
    <row r="33" spans="1:12">
      <c r="A33" s="508"/>
      <c r="B33" s="520" t="s">
        <v>409</v>
      </c>
      <c r="C33" s="416">
        <f>C14*(C4+C5)*C2</f>
        <v>0</v>
      </c>
      <c r="D33" s="422"/>
      <c r="E33" s="413">
        <f t="shared" si="2"/>
        <v>0</v>
      </c>
      <c r="F33" s="508"/>
      <c r="G33" s="474"/>
      <c r="H33" s="474"/>
      <c r="I33" s="474"/>
      <c r="J33" s="474"/>
      <c r="K33" s="474"/>
      <c r="L33" s="474"/>
    </row>
    <row r="34" spans="1:12">
      <c r="A34" s="508"/>
      <c r="B34" s="518" t="s">
        <v>406</v>
      </c>
      <c r="C34" s="411">
        <f>IF(C14=0,C13*2*(C4+C5),0)</f>
        <v>0</v>
      </c>
      <c r="D34" s="422"/>
      <c r="E34" s="413">
        <f t="shared" si="2"/>
        <v>0</v>
      </c>
      <c r="F34" s="508"/>
      <c r="G34" s="474"/>
      <c r="H34" s="474"/>
      <c r="I34" s="474"/>
      <c r="J34" s="474"/>
      <c r="K34" s="474"/>
      <c r="L34" s="474"/>
    </row>
    <row r="35" spans="1:12">
      <c r="A35" s="508"/>
      <c r="B35" s="518" t="s">
        <v>407</v>
      </c>
      <c r="C35" s="411">
        <f>IF(C13=0,C14*(C4+C5),0)</f>
        <v>0</v>
      </c>
      <c r="D35" s="422"/>
      <c r="E35" s="413">
        <f t="shared" si="2"/>
        <v>0</v>
      </c>
      <c r="F35" s="508"/>
      <c r="G35" s="474"/>
      <c r="H35" s="474"/>
      <c r="I35" s="474"/>
      <c r="J35" s="474"/>
      <c r="K35" s="474"/>
      <c r="L35" s="474"/>
    </row>
    <row r="36" spans="1:12">
      <c r="A36" s="508"/>
      <c r="B36" s="518" t="s">
        <v>468</v>
      </c>
      <c r="C36" s="423">
        <f>C4*C2</f>
        <v>0</v>
      </c>
      <c r="D36" s="417"/>
      <c r="E36" s="413">
        <f t="shared" si="2"/>
        <v>0</v>
      </c>
      <c r="F36" s="508"/>
      <c r="G36" s="474"/>
      <c r="H36" s="474"/>
      <c r="I36" s="474"/>
      <c r="J36" s="474"/>
      <c r="K36" s="474"/>
      <c r="L36" s="474"/>
    </row>
    <row r="37" spans="1:12">
      <c r="A37" s="508"/>
      <c r="B37" s="518" t="s">
        <v>469</v>
      </c>
      <c r="C37" s="423">
        <f>C5*C2</f>
        <v>0</v>
      </c>
      <c r="D37" s="417"/>
      <c r="E37" s="413">
        <f t="shared" si="2"/>
        <v>0</v>
      </c>
      <c r="F37" s="522"/>
      <c r="G37" s="474"/>
      <c r="H37" s="474"/>
      <c r="I37" s="474"/>
      <c r="J37" s="474"/>
      <c r="K37" s="474"/>
      <c r="L37" s="474"/>
    </row>
    <row r="38" spans="1:12" ht="11.25" customHeight="1">
      <c r="A38" s="508"/>
      <c r="B38" s="518" t="s">
        <v>429</v>
      </c>
      <c r="C38" s="423">
        <f>(C4+C5)*C2</f>
        <v>0</v>
      </c>
      <c r="D38" s="417"/>
      <c r="E38" s="413">
        <f t="shared" si="2"/>
        <v>0</v>
      </c>
      <c r="F38" s="508"/>
      <c r="G38" s="474"/>
      <c r="H38" s="474"/>
      <c r="I38" s="474"/>
      <c r="J38" s="474"/>
      <c r="K38" s="474"/>
      <c r="L38" s="474"/>
    </row>
    <row r="39" spans="1:12">
      <c r="A39" s="508"/>
      <c r="B39" s="520" t="s">
        <v>654</v>
      </c>
      <c r="C39" s="423">
        <f>C4+C5</f>
        <v>0</v>
      </c>
      <c r="D39" s="417"/>
      <c r="E39" s="413">
        <f t="shared" si="2"/>
        <v>0</v>
      </c>
      <c r="F39" s="508"/>
      <c r="G39" s="474"/>
      <c r="H39" s="474"/>
      <c r="I39" s="474"/>
      <c r="J39" s="474"/>
      <c r="K39" s="474"/>
      <c r="L39" s="474"/>
    </row>
    <row r="40" spans="1:12">
      <c r="A40" s="508"/>
      <c r="B40" s="520" t="s">
        <v>431</v>
      </c>
      <c r="C40" s="423">
        <f>(C4+C5)*4</f>
        <v>0</v>
      </c>
      <c r="D40" s="417"/>
      <c r="E40" s="413">
        <f t="shared" si="2"/>
        <v>0</v>
      </c>
      <c r="F40" s="508"/>
      <c r="G40" s="474"/>
      <c r="H40" s="474"/>
      <c r="I40" s="474"/>
      <c r="J40" s="474"/>
      <c r="K40" s="474"/>
      <c r="L40" s="474"/>
    </row>
    <row r="41" spans="1:12">
      <c r="A41" s="508"/>
      <c r="B41" s="521" t="s">
        <v>385</v>
      </c>
      <c r="C41" s="423">
        <f>C6*C4</f>
        <v>0</v>
      </c>
      <c r="D41" s="422"/>
      <c r="E41" s="413">
        <f t="shared" si="2"/>
        <v>0</v>
      </c>
      <c r="F41" s="508"/>
      <c r="G41" s="474"/>
      <c r="H41" s="474"/>
      <c r="I41" s="474"/>
      <c r="J41" s="474"/>
      <c r="K41" s="474"/>
      <c r="L41" s="474"/>
    </row>
    <row r="42" spans="1:12">
      <c r="A42" s="508"/>
      <c r="B42" s="521" t="s">
        <v>605</v>
      </c>
      <c r="C42" s="423">
        <f>C8*C6</f>
        <v>0</v>
      </c>
      <c r="D42" s="422"/>
      <c r="E42" s="413">
        <f t="shared" si="2"/>
        <v>0</v>
      </c>
      <c r="F42" s="508"/>
      <c r="G42" s="474"/>
      <c r="H42" s="474"/>
      <c r="I42" s="474"/>
      <c r="J42" s="474"/>
      <c r="K42" s="474"/>
      <c r="L42" s="474"/>
    </row>
    <row r="43" spans="1:12" ht="11.25" customHeight="1">
      <c r="A43" s="508"/>
      <c r="B43" s="521" t="s">
        <v>443</v>
      </c>
      <c r="C43" s="423">
        <f>C7*C5</f>
        <v>0</v>
      </c>
      <c r="D43" s="417"/>
      <c r="E43" s="413">
        <f t="shared" si="2"/>
        <v>0</v>
      </c>
      <c r="F43" s="508"/>
      <c r="G43" s="474"/>
      <c r="H43" s="474"/>
      <c r="I43" s="474"/>
      <c r="J43" s="474"/>
      <c r="K43" s="474"/>
      <c r="L43" s="474"/>
    </row>
    <row r="44" spans="1:12" ht="11.25" customHeight="1">
      <c r="A44" s="508"/>
      <c r="B44" s="594" t="s">
        <v>145</v>
      </c>
      <c r="C44" s="575">
        <f>C16</f>
        <v>0</v>
      </c>
      <c r="D44" s="591"/>
      <c r="E44" s="469">
        <f t="shared" si="2"/>
        <v>0</v>
      </c>
      <c r="F44" s="508"/>
      <c r="G44" s="474"/>
      <c r="H44" s="474"/>
      <c r="I44" s="474"/>
      <c r="J44" s="474"/>
      <c r="K44" s="474"/>
      <c r="L44" s="474"/>
    </row>
    <row r="45" spans="1:12" ht="11.25" customHeight="1">
      <c r="A45" s="508"/>
      <c r="B45" s="520" t="s">
        <v>148</v>
      </c>
      <c r="C45" s="416">
        <f>C15</f>
        <v>0</v>
      </c>
      <c r="D45" s="422"/>
      <c r="E45" s="413">
        <f t="shared" si="2"/>
        <v>0</v>
      </c>
      <c r="F45" s="508"/>
      <c r="G45" s="474"/>
      <c r="H45" s="474"/>
      <c r="I45" s="474"/>
      <c r="J45" s="474"/>
      <c r="K45" s="474"/>
      <c r="L45" s="474"/>
    </row>
    <row r="46" spans="1:12" ht="12" thickBot="1">
      <c r="A46" s="508"/>
      <c r="B46" s="523" t="s">
        <v>606</v>
      </c>
      <c r="C46" s="471">
        <f>C9*C5</f>
        <v>0</v>
      </c>
      <c r="D46" s="472"/>
      <c r="E46" s="473">
        <f t="shared" si="2"/>
        <v>0</v>
      </c>
      <c r="F46" s="508"/>
      <c r="G46" s="474"/>
      <c r="H46" s="474"/>
      <c r="I46" s="474"/>
      <c r="J46" s="474"/>
      <c r="K46" s="474"/>
      <c r="L46" s="474"/>
    </row>
    <row r="47" spans="1:12" ht="13.5" thickBot="1">
      <c r="A47" s="508"/>
      <c r="B47" s="508"/>
      <c r="C47" s="508"/>
      <c r="D47" s="524" t="s">
        <v>9</v>
      </c>
      <c r="E47" s="596">
        <f>SUMIF(E20:E46,"&gt;0",E20:E46)</f>
        <v>0</v>
      </c>
      <c r="F47" s="508"/>
      <c r="G47" s="474"/>
      <c r="H47" s="474"/>
      <c r="I47" s="474"/>
      <c r="J47" s="474"/>
      <c r="K47" s="474"/>
      <c r="L47" s="474"/>
    </row>
    <row r="48" spans="1:12">
      <c r="A48" s="508"/>
      <c r="B48" s="508"/>
      <c r="C48" s="508"/>
      <c r="D48" s="508"/>
      <c r="E48" s="508"/>
      <c r="F48" s="508"/>
      <c r="G48" s="474"/>
      <c r="H48" s="474"/>
      <c r="I48" s="474"/>
      <c r="J48" s="474"/>
      <c r="K48" s="474"/>
      <c r="L48" s="474"/>
    </row>
    <row r="49" spans="1:6">
      <c r="A49" s="385"/>
      <c r="B49" s="385"/>
      <c r="C49" s="385"/>
      <c r="D49" s="385"/>
      <c r="E49" s="385"/>
      <c r="F49" s="385"/>
    </row>
    <row r="50" spans="1:6" ht="11.25" customHeight="1">
      <c r="A50" s="385"/>
      <c r="B50" s="385"/>
      <c r="C50" s="385"/>
      <c r="D50" s="385"/>
      <c r="E50" s="385"/>
      <c r="F50" s="385"/>
    </row>
    <row r="51" spans="1:6">
      <c r="A51" s="385"/>
      <c r="B51" s="385"/>
      <c r="C51" s="385"/>
      <c r="D51" s="385"/>
      <c r="E51" s="385"/>
      <c r="F51" s="385"/>
    </row>
    <row r="52" spans="1:6">
      <c r="A52" s="385"/>
      <c r="B52" s="385"/>
      <c r="C52" s="385"/>
      <c r="D52" s="385"/>
      <c r="E52" s="385"/>
      <c r="F52" s="385"/>
    </row>
    <row r="53" spans="1:6">
      <c r="A53" s="385"/>
      <c r="B53" s="385"/>
      <c r="C53" s="385"/>
      <c r="D53" s="385"/>
      <c r="E53" s="385"/>
      <c r="F53" s="385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393" priority="3" operator="greaterThan">
      <formula>0</formula>
    </cfRule>
    <cfRule type="cellIs" dxfId="392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91" priority="28" operator="equal">
      <formula>"ДА"</formula>
    </cfRule>
    <cfRule type="cellIs" dxfId="390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9" priority="25" operator="equal">
      <formula>"ДА"</formula>
    </cfRule>
    <cfRule type="cellIs" dxfId="388" priority="26" operator="equal">
      <formula>"НЕТ"</formula>
    </cfRule>
  </conditionalFormatting>
  <conditionalFormatting sqref="I5">
    <cfRule type="cellIs" dxfId="387" priority="22" operator="equal">
      <formula>"ДА"</formula>
    </cfRule>
    <cfRule type="cellIs" dxfId="386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85" priority="18" operator="equal">
      <formula>"ДА"</formula>
    </cfRule>
    <cfRule type="cellIs" dxfId="384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83" priority="14" operator="equal">
      <formula>"ДА"</formula>
    </cfRule>
    <cfRule type="cellIs" dxfId="382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81" priority="9" operator="greaterThan">
      <formula>0</formula>
    </cfRule>
  </conditionalFormatting>
  <conditionalFormatting sqref="C2:C14">
    <cfRule type="cellIs" dxfId="380" priority="7" operator="greaterThan">
      <formula>0</formula>
    </cfRule>
  </conditionalFormatting>
  <conditionalFormatting sqref="C24:E43 C46:E46">
    <cfRule type="cellIs" dxfId="379" priority="6" operator="greaterThan">
      <formula>0</formula>
    </cfRule>
  </conditionalFormatting>
  <conditionalFormatting sqref="E47">
    <cfRule type="cellIs" dxfId="378" priority="4" operator="greaterThan">
      <formula>0</formula>
    </cfRule>
    <cfRule type="cellIs" dxfId="377" priority="5" operator="greaterThan">
      <formula>0</formula>
    </cfRule>
  </conditionalFormatting>
  <conditionalFormatting sqref="C15:C16">
    <cfRule type="cellIs" dxfId="376" priority="2" operator="greaterThan">
      <formula>0</formula>
    </cfRule>
  </conditionalFormatting>
  <conditionalFormatting sqref="C44:E45">
    <cfRule type="cellIs" dxfId="37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26" activePane="bottomLeft" state="frozen"/>
      <selection pane="bottomLeft" activeCell="H42" sqref="H42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74"/>
      <c r="B1" s="1114"/>
      <c r="C1" s="1115"/>
      <c r="D1" s="1115"/>
      <c r="E1" s="1115"/>
      <c r="F1" s="474"/>
      <c r="G1" s="474"/>
      <c r="H1" s="474"/>
      <c r="I1" s="474"/>
      <c r="J1" s="474"/>
      <c r="K1" s="474"/>
      <c r="L1" s="474"/>
    </row>
    <row r="2" spans="1:12" ht="12" customHeight="1" thickBot="1">
      <c r="A2" s="474"/>
      <c r="B2" s="476" t="s">
        <v>10</v>
      </c>
      <c r="C2" s="527">
        <v>4</v>
      </c>
      <c r="D2" s="1116" t="s">
        <v>602</v>
      </c>
      <c r="E2" s="1117"/>
      <c r="F2" s="1118"/>
      <c r="G2" s="474"/>
      <c r="H2" s="478" t="s">
        <v>492</v>
      </c>
      <c r="I2" s="691" t="s">
        <v>611</v>
      </c>
      <c r="J2" s="479" t="s">
        <v>4</v>
      </c>
      <c r="K2" s="480" t="s">
        <v>8</v>
      </c>
      <c r="L2" s="474"/>
    </row>
    <row r="3" spans="1:12" ht="12" customHeight="1" thickBot="1">
      <c r="A3" s="474"/>
      <c r="B3" s="481" t="s">
        <v>1</v>
      </c>
      <c r="C3" s="528">
        <v>2</v>
      </c>
      <c r="D3" s="1119"/>
      <c r="E3" s="1120"/>
      <c r="F3" s="1121"/>
      <c r="G3" s="474"/>
      <c r="H3" s="482" t="s">
        <v>496</v>
      </c>
      <c r="I3" s="692" t="str">
        <f>IF(AND($C$9+$C$10+$C$11=1,$C$12+$C$13+$C$14=0,C15=1),"ДА","НЕТ")</f>
        <v>ДА</v>
      </c>
      <c r="J3" s="387"/>
      <c r="K3" s="388">
        <f>IF(I3="ДА",($C$4+$C$5+$C$6+$C$7+$C$8+$C$9)*J3,0)</f>
        <v>0</v>
      </c>
      <c r="L3" s="474"/>
    </row>
    <row r="4" spans="1:12" ht="12" customHeight="1">
      <c r="A4" s="474"/>
      <c r="B4" s="476" t="s">
        <v>445</v>
      </c>
      <c r="C4" s="533">
        <v>0</v>
      </c>
      <c r="D4" s="1116" t="s">
        <v>604</v>
      </c>
      <c r="E4" s="1117"/>
      <c r="F4" s="1118"/>
      <c r="G4" s="474"/>
      <c r="H4" s="487" t="s">
        <v>493</v>
      </c>
      <c r="I4" s="693" t="str">
        <f>IF(AND($C$9+$C$10+$C$11=1,$C$12+$C$13+$C$14=0,C15=3),"ДА","НЕТ")</f>
        <v>НЕТ</v>
      </c>
      <c r="J4" s="391"/>
      <c r="K4" s="392">
        <f t="shared" ref="K4:K19" si="0">IF(I4="ДА",($C$4+$C$5+$C$6+$C$7+$C$8+$C$9)*J4,0)</f>
        <v>0</v>
      </c>
      <c r="L4" s="474"/>
    </row>
    <row r="5" spans="1:12" ht="12" customHeight="1">
      <c r="A5" s="474"/>
      <c r="B5" s="486" t="s">
        <v>446</v>
      </c>
      <c r="C5" s="530">
        <v>0</v>
      </c>
      <c r="D5" s="1136"/>
      <c r="E5" s="1122"/>
      <c r="F5" s="1123"/>
      <c r="G5" s="474"/>
      <c r="H5" s="487" t="s">
        <v>598</v>
      </c>
      <c r="I5" s="693" t="str">
        <f>IF(AND($C$9+$C$10+$C$11=1,$C$12+$C$13+$C$14=0,C15=3),"ДА","НЕТ")</f>
        <v>НЕТ</v>
      </c>
      <c r="J5" s="391"/>
      <c r="K5" s="392">
        <f t="shared" si="0"/>
        <v>0</v>
      </c>
      <c r="L5" s="474"/>
    </row>
    <row r="6" spans="1:12" ht="12" customHeight="1" thickBot="1">
      <c r="A6" s="474"/>
      <c r="B6" s="509" t="s">
        <v>636</v>
      </c>
      <c r="C6" s="535">
        <v>1</v>
      </c>
      <c r="D6" s="1136"/>
      <c r="E6" s="1122"/>
      <c r="F6" s="1123"/>
      <c r="G6" s="474"/>
      <c r="H6" s="487" t="s">
        <v>494</v>
      </c>
      <c r="I6" s="693" t="str">
        <f>IF(AND($C$9+$C$10+$C$11=1,$C$12+$C$13+$C$14=0,C15=2),"ДА","НЕТ")</f>
        <v>НЕТ</v>
      </c>
      <c r="J6" s="391"/>
      <c r="K6" s="392">
        <f t="shared" si="0"/>
        <v>0</v>
      </c>
      <c r="L6" s="474"/>
    </row>
    <row r="7" spans="1:12" ht="12" customHeight="1" thickBot="1">
      <c r="A7" s="474"/>
      <c r="B7" s="498" t="s">
        <v>419</v>
      </c>
      <c r="C7" s="534">
        <v>0</v>
      </c>
      <c r="D7" s="502" t="s">
        <v>294</v>
      </c>
      <c r="E7" s="503" t="s">
        <v>256</v>
      </c>
      <c r="F7" s="632" t="s">
        <v>676</v>
      </c>
      <c r="G7" s="558"/>
      <c r="H7" s="487" t="s">
        <v>495</v>
      </c>
      <c r="I7" s="693" t="str">
        <f>IF(AND($C$9+$C$10+$C$11=1,$C$12+$C$13+$C$14=0,C15=2),"ДА","НЕТ")</f>
        <v>НЕТ</v>
      </c>
      <c r="J7" s="391"/>
      <c r="K7" s="392">
        <f t="shared" si="0"/>
        <v>0</v>
      </c>
      <c r="L7" s="474"/>
    </row>
    <row r="8" spans="1:12" ht="12" customHeight="1" thickBot="1">
      <c r="A8" s="474"/>
      <c r="B8" s="498" t="s">
        <v>488</v>
      </c>
      <c r="C8" s="534">
        <v>0</v>
      </c>
      <c r="D8" s="502" t="s">
        <v>294</v>
      </c>
      <c r="E8" s="503" t="s">
        <v>256</v>
      </c>
      <c r="F8" s="631"/>
      <c r="G8" s="592"/>
      <c r="H8" s="487" t="s">
        <v>501</v>
      </c>
      <c r="I8" s="693" t="str">
        <f>IF(AND($C$9+$C$10+$C$11=1,$C$12+$C$13+$C$14=0,C15=2),"ДА","НЕТ")</f>
        <v>НЕТ</v>
      </c>
      <c r="J8" s="391"/>
      <c r="K8" s="392">
        <f t="shared" si="0"/>
        <v>0</v>
      </c>
      <c r="L8" s="474"/>
    </row>
    <row r="9" spans="1:12" ht="12" customHeight="1">
      <c r="A9" s="474"/>
      <c r="B9" s="476" t="s">
        <v>505</v>
      </c>
      <c r="C9" s="533">
        <v>0</v>
      </c>
      <c r="D9" s="489" t="s">
        <v>294</v>
      </c>
      <c r="E9" s="490" t="s">
        <v>256</v>
      </c>
      <c r="F9" s="1124" t="s">
        <v>604</v>
      </c>
      <c r="G9" s="558"/>
      <c r="H9" s="482" t="s">
        <v>597</v>
      </c>
      <c r="I9" s="693" t="str">
        <f>IF(AND($C$9+$C$10+$C$11=1,$C$12+$C$13+$C$14=0,C15=1),"ДА","НЕТ")</f>
        <v>ДА</v>
      </c>
      <c r="J9" s="387"/>
      <c r="K9" s="388">
        <f t="shared" si="0"/>
        <v>0</v>
      </c>
      <c r="L9" s="474"/>
    </row>
    <row r="10" spans="1:12" ht="12" customHeight="1">
      <c r="A10" s="474"/>
      <c r="B10" s="486" t="s">
        <v>506</v>
      </c>
      <c r="C10" s="530">
        <v>0</v>
      </c>
      <c r="D10" s="493" t="s">
        <v>294</v>
      </c>
      <c r="E10" s="493" t="s">
        <v>256</v>
      </c>
      <c r="F10" s="1125"/>
      <c r="G10" s="474"/>
      <c r="H10" s="482" t="s">
        <v>390</v>
      </c>
      <c r="I10" s="693" t="str">
        <f>IF(AND($C$9+$C$10+$C$11+C14=0,$C$12+$C$13=1,C15=1),"ДА","НЕТ")</f>
        <v>НЕТ</v>
      </c>
      <c r="J10" s="394"/>
      <c r="K10" s="395">
        <f t="shared" si="0"/>
        <v>0</v>
      </c>
      <c r="L10" s="474"/>
    </row>
    <row r="11" spans="1:12" ht="12" customHeight="1">
      <c r="A11" s="474"/>
      <c r="B11" s="486" t="s">
        <v>594</v>
      </c>
      <c r="C11" s="530">
        <v>1</v>
      </c>
      <c r="D11" s="493" t="s">
        <v>294</v>
      </c>
      <c r="E11" s="493" t="s">
        <v>256</v>
      </c>
      <c r="F11" s="1125"/>
      <c r="G11" s="474"/>
      <c r="H11" s="485" t="s">
        <v>391</v>
      </c>
      <c r="I11" s="693" t="str">
        <f>IF(AND($C$9+$C$10+$C$11+C14=0,$C$12+$C$13=1,C15=1),"ДА","НЕТ")</f>
        <v>НЕТ</v>
      </c>
      <c r="J11" s="394"/>
      <c r="K11" s="395">
        <f t="shared" si="0"/>
        <v>0</v>
      </c>
      <c r="L11" s="474"/>
    </row>
    <row r="12" spans="1:12" ht="12" customHeight="1">
      <c r="A12" s="474"/>
      <c r="B12" s="488" t="s">
        <v>507</v>
      </c>
      <c r="C12" s="531">
        <v>0</v>
      </c>
      <c r="D12" s="491" t="s">
        <v>294</v>
      </c>
      <c r="E12" s="492" t="s">
        <v>256</v>
      </c>
      <c r="F12" s="1125"/>
      <c r="G12" s="474"/>
      <c r="H12" s="485" t="s">
        <v>392</v>
      </c>
      <c r="I12" s="693" t="str">
        <f>IF(AND($C$9+$C$10+$C$11+C14=0,$C$12+$C$13=1,C15=1),"ДА","НЕТ")</f>
        <v>НЕТ</v>
      </c>
      <c r="J12" s="397"/>
      <c r="K12" s="395">
        <f t="shared" si="0"/>
        <v>0</v>
      </c>
      <c r="L12" s="474"/>
    </row>
    <row r="13" spans="1:12" ht="12" customHeight="1">
      <c r="A13" s="474"/>
      <c r="B13" s="486" t="s">
        <v>508</v>
      </c>
      <c r="C13" s="530">
        <v>0</v>
      </c>
      <c r="D13" s="493" t="s">
        <v>294</v>
      </c>
      <c r="E13" s="494" t="s">
        <v>256</v>
      </c>
      <c r="F13" s="1125"/>
      <c r="G13" s="474"/>
      <c r="H13" s="485" t="s">
        <v>599</v>
      </c>
      <c r="I13" s="693" t="str">
        <f>IF(AND($C$10+$C$11+$C$12+$C$13+$C$9=0,$C$14=1,C15=1),"ДА","НЕТ")</f>
        <v>НЕТ</v>
      </c>
      <c r="J13" s="397"/>
      <c r="K13" s="395">
        <f t="shared" si="0"/>
        <v>0</v>
      </c>
      <c r="L13" s="474"/>
    </row>
    <row r="14" spans="1:12" ht="12" customHeight="1" thickBot="1">
      <c r="A14" s="474"/>
      <c r="B14" s="509" t="s">
        <v>595</v>
      </c>
      <c r="C14" s="535">
        <v>0</v>
      </c>
      <c r="D14" s="493" t="s">
        <v>294</v>
      </c>
      <c r="E14" s="494" t="s">
        <v>256</v>
      </c>
      <c r="F14" s="1126"/>
      <c r="G14" s="474"/>
      <c r="H14" s="485" t="s">
        <v>599</v>
      </c>
      <c r="I14" s="693" t="str">
        <f>IF(AND($C$10+$C$11+$C$12+$C$13+$C$9=0,$C$14=1,C15=1),"ДА","НЕТ")</f>
        <v>НЕТ</v>
      </c>
      <c r="J14" s="397"/>
      <c r="K14" s="395">
        <f t="shared" si="0"/>
        <v>0</v>
      </c>
      <c r="L14" s="474"/>
    </row>
    <row r="15" spans="1:12" ht="12" customHeight="1" thickBot="1">
      <c r="A15" s="474"/>
      <c r="B15" s="498" t="s">
        <v>596</v>
      </c>
      <c r="C15" s="617">
        <v>1</v>
      </c>
      <c r="D15" s="502" t="s">
        <v>626</v>
      </c>
      <c r="E15" s="503" t="s">
        <v>627</v>
      </c>
      <c r="F15" s="505" t="s">
        <v>628</v>
      </c>
      <c r="G15" s="474"/>
      <c r="H15" s="482" t="s">
        <v>395</v>
      </c>
      <c r="I15" s="693" t="str">
        <f>IF(AND($C$9+$C$10+$C$11+C14=0,$C$12+$C$13=1,C15=2),"ДА","НЕТ")</f>
        <v>НЕТ</v>
      </c>
      <c r="J15" s="394"/>
      <c r="K15" s="395">
        <f t="shared" si="0"/>
        <v>0</v>
      </c>
      <c r="L15" s="474"/>
    </row>
    <row r="16" spans="1:12" ht="12" customHeight="1" thickBot="1">
      <c r="A16" s="474"/>
      <c r="B16" s="509" t="s">
        <v>538</v>
      </c>
      <c r="C16" s="535">
        <v>0</v>
      </c>
      <c r="D16" s="493" t="s">
        <v>294</v>
      </c>
      <c r="E16" s="494" t="s">
        <v>256</v>
      </c>
      <c r="F16" s="632" t="s">
        <v>676</v>
      </c>
      <c r="G16" s="474"/>
      <c r="H16" s="485" t="s">
        <v>396</v>
      </c>
      <c r="I16" s="693" t="str">
        <f>IF(AND($C$9+$C$10+$C$11+C14=0,$C$12+$C$13=1,C15=2),"ДА","НЕТ")</f>
        <v>НЕТ</v>
      </c>
      <c r="J16" s="394"/>
      <c r="K16" s="395">
        <f t="shared" si="0"/>
        <v>0</v>
      </c>
      <c r="L16" s="474"/>
    </row>
    <row r="17" spans="1:12" ht="12" customHeight="1">
      <c r="A17" s="474"/>
      <c r="B17" s="476" t="s">
        <v>368</v>
      </c>
      <c r="C17" s="533">
        <v>0</v>
      </c>
      <c r="D17" s="489" t="s">
        <v>294</v>
      </c>
      <c r="E17" s="490" t="s">
        <v>256</v>
      </c>
      <c r="F17" s="1124" t="s">
        <v>604</v>
      </c>
      <c r="G17" s="474"/>
      <c r="H17" s="485" t="s">
        <v>397</v>
      </c>
      <c r="I17" s="693" t="str">
        <f>IF(AND($C$9+$C$10+$C$11+C14=0,$C$12+$C$13=1,C15=2),"ДА","НЕТ")</f>
        <v>НЕТ</v>
      </c>
      <c r="J17" s="394"/>
      <c r="K17" s="392">
        <f t="shared" si="0"/>
        <v>0</v>
      </c>
      <c r="L17" s="474"/>
    </row>
    <row r="18" spans="1:12" ht="12" customHeight="1">
      <c r="A18" s="474"/>
      <c r="B18" s="488" t="s">
        <v>473</v>
      </c>
      <c r="C18" s="531">
        <v>0</v>
      </c>
      <c r="D18" s="493" t="s">
        <v>294</v>
      </c>
      <c r="E18" s="494" t="s">
        <v>256</v>
      </c>
      <c r="F18" s="1125"/>
      <c r="G18" s="474"/>
      <c r="H18" s="482" t="s">
        <v>600</v>
      </c>
      <c r="I18" s="692" t="str">
        <f>IF(AND($C$10+$C$11+$C$12+$C$13+$C$9=0,$C$14=1,C15=2),"ДА","НЕТ")</f>
        <v>НЕТ</v>
      </c>
      <c r="J18" s="398"/>
      <c r="K18" s="399">
        <f t="shared" si="0"/>
        <v>0</v>
      </c>
      <c r="L18" s="474"/>
    </row>
    <row r="19" spans="1:12" ht="12" customHeight="1" thickBot="1">
      <c r="A19" s="474"/>
      <c r="B19" s="486" t="s">
        <v>369</v>
      </c>
      <c r="C19" s="530">
        <v>0</v>
      </c>
      <c r="D19" s="493" t="s">
        <v>294</v>
      </c>
      <c r="E19" s="494" t="s">
        <v>256</v>
      </c>
      <c r="F19" s="1125"/>
      <c r="G19" s="474"/>
      <c r="H19" s="506" t="s">
        <v>601</v>
      </c>
      <c r="I19" s="703" t="str">
        <f>IF(AND($C$10+$C$11+$C$12+$C$13+$C$9=0,$C$14=1,C15=2),"ДА","НЕТ")</f>
        <v>НЕТ</v>
      </c>
      <c r="J19" s="401"/>
      <c r="K19" s="402">
        <f t="shared" si="0"/>
        <v>0</v>
      </c>
      <c r="L19" s="474"/>
    </row>
    <row r="20" spans="1:12" ht="12" customHeight="1" thickBot="1">
      <c r="A20" s="474"/>
      <c r="B20" s="481" t="s">
        <v>474</v>
      </c>
      <c r="C20" s="532">
        <v>1</v>
      </c>
      <c r="D20" s="496" t="s">
        <v>294</v>
      </c>
      <c r="E20" s="497" t="s">
        <v>256</v>
      </c>
      <c r="F20" s="1126"/>
      <c r="G20" s="474"/>
      <c r="H20" s="474"/>
      <c r="I20" s="474"/>
      <c r="J20" s="474"/>
      <c r="K20" s="474"/>
      <c r="L20" s="474"/>
    </row>
    <row r="21" spans="1:12" ht="12" customHeight="1" thickBot="1">
      <c r="A21" s="474"/>
      <c r="B21" s="509" t="s">
        <v>539</v>
      </c>
      <c r="C21" s="535">
        <v>0</v>
      </c>
      <c r="D21" s="496" t="s">
        <v>294</v>
      </c>
      <c r="E21" s="497" t="s">
        <v>256</v>
      </c>
      <c r="F21" s="626"/>
      <c r="G21" s="474"/>
      <c r="H21" s="474"/>
      <c r="I21" s="474"/>
      <c r="J21" s="474"/>
      <c r="K21" s="474"/>
      <c r="L21" s="474"/>
    </row>
    <row r="22" spans="1:12" ht="12" customHeight="1">
      <c r="A22" s="474"/>
      <c r="B22" s="799" t="s">
        <v>147</v>
      </c>
      <c r="C22" s="533">
        <v>1</v>
      </c>
      <c r="D22" s="1128" t="s">
        <v>693</v>
      </c>
      <c r="E22" s="1128"/>
      <c r="F22" s="1129"/>
      <c r="G22" s="474"/>
      <c r="H22" s="474"/>
      <c r="I22" s="474"/>
      <c r="J22" s="474"/>
      <c r="K22" s="474"/>
      <c r="L22" s="474"/>
    </row>
    <row r="23" spans="1:12" ht="12" customHeight="1" thickBot="1">
      <c r="A23" s="474"/>
      <c r="B23" s="800" t="s">
        <v>146</v>
      </c>
      <c r="C23" s="532">
        <v>0</v>
      </c>
      <c r="D23" s="1134" t="s">
        <v>694</v>
      </c>
      <c r="E23" s="1134"/>
      <c r="F23" s="1135"/>
      <c r="G23" s="474"/>
      <c r="H23" s="474"/>
      <c r="I23" s="474"/>
      <c r="J23" s="474"/>
      <c r="K23" s="474"/>
      <c r="L23" s="474"/>
    </row>
    <row r="24" spans="1:12" ht="12" customHeight="1" thickBot="1">
      <c r="A24" s="474"/>
      <c r="B24" s="508"/>
      <c r="C24" s="508"/>
      <c r="D24" s="508"/>
      <c r="E24" s="508"/>
      <c r="F24" s="508"/>
      <c r="G24" s="474"/>
      <c r="H24" s="474"/>
      <c r="I24" s="474"/>
      <c r="J24" s="474"/>
      <c r="K24" s="474"/>
      <c r="L24" s="474"/>
    </row>
    <row r="25" spans="1:12" ht="12" customHeight="1">
      <c r="A25" s="474"/>
      <c r="B25" s="513" t="s">
        <v>5</v>
      </c>
      <c r="C25" s="514" t="s">
        <v>0</v>
      </c>
      <c r="D25" s="700" t="s">
        <v>4</v>
      </c>
      <c r="E25" s="516" t="s">
        <v>8</v>
      </c>
      <c r="F25" s="508"/>
      <c r="G25" s="474"/>
      <c r="H25" s="474"/>
      <c r="I25" s="474"/>
      <c r="J25" s="474"/>
      <c r="K25" s="474"/>
      <c r="L25" s="474"/>
    </row>
    <row r="26" spans="1:12" ht="12" customHeight="1">
      <c r="A26" s="474"/>
      <c r="B26" s="518" t="s">
        <v>570</v>
      </c>
      <c r="C26" s="411">
        <f>IF(AND(C16=0,C7=0),C20*(C4+C5+C6),0)</f>
        <v>1</v>
      </c>
      <c r="D26" s="620"/>
      <c r="E26" s="621">
        <f t="shared" ref="E26:E37" si="1">D26*C26</f>
        <v>0</v>
      </c>
      <c r="F26" s="508"/>
      <c r="G26" s="474"/>
      <c r="H26" s="474"/>
      <c r="I26" s="474"/>
      <c r="J26" s="474"/>
      <c r="K26" s="474"/>
      <c r="L26" s="474"/>
    </row>
    <row r="27" spans="1:12" ht="12" customHeight="1">
      <c r="A27" s="474"/>
      <c r="B27" s="518" t="s">
        <v>571</v>
      </c>
      <c r="C27" s="411">
        <f>(C4+C5+C6)*C18</f>
        <v>0</v>
      </c>
      <c r="D27" s="620"/>
      <c r="E27" s="621">
        <f>C27*D27</f>
        <v>0</v>
      </c>
      <c r="F27" s="508"/>
      <c r="G27" s="474"/>
      <c r="H27" s="474"/>
      <c r="I27" s="474"/>
      <c r="J27" s="474"/>
      <c r="K27" s="474"/>
      <c r="L27" s="474"/>
    </row>
    <row r="28" spans="1:12" ht="12" customHeight="1">
      <c r="A28" s="474"/>
      <c r="B28" s="518" t="s">
        <v>660</v>
      </c>
      <c r="C28" s="411">
        <f>IF(AND(C16=1,C7=0),C16*(C4+C5+C6),0)</f>
        <v>0</v>
      </c>
      <c r="D28" s="620"/>
      <c r="E28" s="621">
        <f>D28*C28</f>
        <v>0</v>
      </c>
      <c r="F28" s="508"/>
      <c r="G28" s="474"/>
      <c r="H28" s="474"/>
      <c r="I28" s="474"/>
      <c r="J28" s="474"/>
      <c r="K28" s="474"/>
      <c r="L28" s="474"/>
    </row>
    <row r="29" spans="1:12" ht="12" customHeight="1">
      <c r="A29" s="474"/>
      <c r="B29" s="518" t="s">
        <v>661</v>
      </c>
      <c r="C29" s="411">
        <f>IF(AND(C7=1,C16=0),C20*(C4+C5+C6)*C7,0)</f>
        <v>0</v>
      </c>
      <c r="D29" s="620"/>
      <c r="E29" s="621">
        <f t="shared" si="1"/>
        <v>0</v>
      </c>
      <c r="F29" s="508"/>
      <c r="G29" s="474"/>
      <c r="H29" s="474"/>
      <c r="I29" s="474"/>
      <c r="J29" s="474"/>
      <c r="K29" s="474"/>
      <c r="L29" s="474"/>
    </row>
    <row r="30" spans="1:12" ht="12" customHeight="1">
      <c r="A30" s="474"/>
      <c r="B30" s="518" t="s">
        <v>117</v>
      </c>
      <c r="C30" s="411">
        <f>(C17+C19)*2*(C4+C5+C6)</f>
        <v>0</v>
      </c>
      <c r="D30" s="620"/>
      <c r="E30" s="621">
        <f t="shared" si="1"/>
        <v>0</v>
      </c>
      <c r="F30" s="508"/>
      <c r="G30" s="474"/>
      <c r="H30" s="474"/>
      <c r="I30" s="474"/>
      <c r="J30" s="474"/>
      <c r="K30" s="474"/>
      <c r="L30" s="474"/>
    </row>
    <row r="31" spans="1:12" ht="12" customHeight="1">
      <c r="A31" s="474"/>
      <c r="B31" s="520" t="s">
        <v>662</v>
      </c>
      <c r="C31" s="416">
        <f>EVEN(ROUNDDOWN(IF(C4+C5+C6&gt;0.9,(C4+C5+C6)*(C2/0.5)+1,0),0))</f>
        <v>10</v>
      </c>
      <c r="D31" s="620"/>
      <c r="E31" s="621">
        <f t="shared" si="1"/>
        <v>0</v>
      </c>
      <c r="F31" s="508"/>
      <c r="G31" s="474"/>
      <c r="H31" s="474"/>
      <c r="I31" s="474"/>
      <c r="J31" s="474"/>
      <c r="K31" s="474"/>
      <c r="L31" s="474"/>
    </row>
    <row r="32" spans="1:12" ht="12" customHeight="1">
      <c r="A32" s="474"/>
      <c r="B32" s="520" t="s">
        <v>427</v>
      </c>
      <c r="C32" s="416">
        <f>IF(AND(C9+C10+C11&gt;0,C12+C13+C14=0),(C4+C5+C6)*2,0)</f>
        <v>2</v>
      </c>
      <c r="D32" s="620"/>
      <c r="E32" s="621">
        <f t="shared" si="1"/>
        <v>0</v>
      </c>
      <c r="F32" s="508"/>
      <c r="G32" s="474"/>
      <c r="H32" s="474"/>
      <c r="I32" s="474"/>
      <c r="J32" s="474"/>
      <c r="K32" s="474"/>
      <c r="L32" s="474"/>
    </row>
    <row r="33" spans="1:12" ht="12" customHeight="1">
      <c r="A33" s="474"/>
      <c r="B33" s="520" t="s">
        <v>427</v>
      </c>
      <c r="C33" s="416">
        <f>IF(AND(C9+C10+C11=0,C12+C13+C14&gt;0),(C4+C5+C6),0)</f>
        <v>0</v>
      </c>
      <c r="D33" s="620"/>
      <c r="E33" s="621">
        <f>D33*C33</f>
        <v>0</v>
      </c>
      <c r="F33" s="508"/>
      <c r="G33" s="474"/>
      <c r="H33" s="474"/>
      <c r="I33" s="474"/>
      <c r="J33" s="474"/>
      <c r="K33" s="474"/>
      <c r="L33" s="474"/>
    </row>
    <row r="34" spans="1:12" ht="12" customHeight="1">
      <c r="A34" s="474"/>
      <c r="B34" s="520" t="s">
        <v>518</v>
      </c>
      <c r="C34" s="416">
        <f>IF(AND(C9+C10+C11=0,C12+C13+C14&gt;0),(C4+C5),0)</f>
        <v>0</v>
      </c>
      <c r="D34" s="620"/>
      <c r="E34" s="621">
        <f t="shared" si="1"/>
        <v>0</v>
      </c>
      <c r="F34" s="508"/>
      <c r="G34" s="474"/>
      <c r="H34" s="474"/>
      <c r="I34" s="474"/>
      <c r="J34" s="474"/>
      <c r="K34" s="474"/>
      <c r="L34" s="474"/>
    </row>
    <row r="35" spans="1:12" ht="12" customHeight="1">
      <c r="A35" s="474"/>
      <c r="B35" s="518" t="s">
        <v>663</v>
      </c>
      <c r="C35" s="411">
        <f>C4+C5+C6</f>
        <v>1</v>
      </c>
      <c r="D35" s="620"/>
      <c r="E35" s="621">
        <f t="shared" si="1"/>
        <v>0</v>
      </c>
      <c r="F35" s="508"/>
      <c r="G35" s="474"/>
      <c r="H35" s="474"/>
      <c r="I35" s="474"/>
      <c r="J35" s="474"/>
      <c r="K35" s="474"/>
      <c r="L35" s="474"/>
    </row>
    <row r="36" spans="1:12" ht="12" customHeight="1">
      <c r="A36" s="474"/>
      <c r="B36" s="518" t="s">
        <v>664</v>
      </c>
      <c r="C36" s="419">
        <f>C4+C5+C6</f>
        <v>1</v>
      </c>
      <c r="D36" s="620"/>
      <c r="E36" s="621">
        <f t="shared" si="1"/>
        <v>0</v>
      </c>
      <c r="F36" s="508"/>
      <c r="G36" s="474"/>
      <c r="H36" s="474"/>
      <c r="I36" s="474"/>
      <c r="J36" s="474"/>
      <c r="K36" s="474"/>
      <c r="L36" s="474"/>
    </row>
    <row r="37" spans="1:12" ht="12" customHeight="1">
      <c r="A37" s="474"/>
      <c r="B37" s="518" t="s">
        <v>665</v>
      </c>
      <c r="C37" s="411">
        <f>(C4+C5+C6)*2</f>
        <v>2</v>
      </c>
      <c r="D37" s="620"/>
      <c r="E37" s="621">
        <f t="shared" si="1"/>
        <v>0</v>
      </c>
      <c r="F37" s="508"/>
      <c r="G37" s="474"/>
      <c r="H37" s="474"/>
      <c r="I37" s="474"/>
      <c r="J37" s="474"/>
      <c r="K37" s="474"/>
      <c r="L37" s="474"/>
    </row>
    <row r="38" spans="1:12" ht="12" customHeight="1">
      <c r="A38" s="474"/>
      <c r="B38" s="520" t="s">
        <v>653</v>
      </c>
      <c r="C38" s="411">
        <f>C21*(C4+C5+C6)</f>
        <v>0</v>
      </c>
      <c r="D38" s="620"/>
      <c r="E38" s="621">
        <f>D38*C38</f>
        <v>0</v>
      </c>
      <c r="F38" s="508"/>
      <c r="G38" s="474"/>
      <c r="H38" s="474"/>
      <c r="I38" s="474"/>
      <c r="J38" s="474"/>
      <c r="K38" s="474"/>
      <c r="L38" s="474"/>
    </row>
    <row r="39" spans="1:12" ht="12" customHeight="1">
      <c r="A39" s="474"/>
      <c r="B39" s="520" t="s">
        <v>452</v>
      </c>
      <c r="C39" s="411">
        <f>C4</f>
        <v>0</v>
      </c>
      <c r="D39" s="620"/>
      <c r="E39" s="621">
        <f>C39*D39</f>
        <v>0</v>
      </c>
      <c r="F39" s="508"/>
      <c r="G39" s="474"/>
      <c r="H39" s="474"/>
      <c r="I39" s="474"/>
      <c r="J39" s="474"/>
      <c r="K39" s="474"/>
      <c r="L39" s="474"/>
    </row>
    <row r="40" spans="1:12" ht="12" customHeight="1">
      <c r="A40" s="474"/>
      <c r="B40" s="520" t="s">
        <v>453</v>
      </c>
      <c r="C40" s="411">
        <f>C4*2</f>
        <v>0</v>
      </c>
      <c r="D40" s="620"/>
      <c r="E40" s="621">
        <f>C40*D40</f>
        <v>0</v>
      </c>
      <c r="F40" s="508"/>
      <c r="G40" s="474"/>
      <c r="H40" s="474"/>
      <c r="I40" s="474"/>
      <c r="J40" s="474"/>
      <c r="K40" s="474"/>
      <c r="L40" s="474"/>
    </row>
    <row r="41" spans="1:12" ht="12" customHeight="1">
      <c r="A41" s="474"/>
      <c r="B41" s="520" t="s">
        <v>659</v>
      </c>
      <c r="C41" s="411">
        <f>C6*2</f>
        <v>2</v>
      </c>
      <c r="D41" s="620"/>
      <c r="E41" s="621">
        <f>C41*D41</f>
        <v>0</v>
      </c>
      <c r="F41" s="508"/>
      <c r="G41" s="474"/>
      <c r="H41" s="474"/>
      <c r="I41" s="474"/>
      <c r="J41" s="474"/>
      <c r="K41" s="474"/>
      <c r="L41" s="474"/>
    </row>
    <row r="42" spans="1:12" ht="12" customHeight="1">
      <c r="A42" s="474"/>
      <c r="B42" s="520" t="s">
        <v>441</v>
      </c>
      <c r="C42" s="411">
        <f>C5+C6</f>
        <v>1</v>
      </c>
      <c r="D42" s="620"/>
      <c r="E42" s="621">
        <f>C42*D42</f>
        <v>0</v>
      </c>
      <c r="F42" s="508"/>
      <c r="G42" s="474"/>
      <c r="H42" s="474"/>
      <c r="I42" s="474"/>
      <c r="J42" s="474"/>
      <c r="K42" s="474"/>
      <c r="L42" s="474"/>
    </row>
    <row r="43" spans="1:12" ht="12" customHeight="1">
      <c r="A43" s="474"/>
      <c r="B43" s="518" t="s">
        <v>481</v>
      </c>
      <c r="C43" s="411">
        <f>(C4+C5+C6)*C2</f>
        <v>4</v>
      </c>
      <c r="D43" s="620"/>
      <c r="E43" s="621">
        <f>D43*C43</f>
        <v>0</v>
      </c>
      <c r="F43" s="508"/>
      <c r="G43" s="474"/>
      <c r="H43" s="474"/>
      <c r="I43" s="474"/>
      <c r="J43" s="474"/>
      <c r="K43" s="474"/>
      <c r="L43" s="474"/>
    </row>
    <row r="44" spans="1:12" ht="12" customHeight="1">
      <c r="A44" s="474"/>
      <c r="B44" s="518" t="s">
        <v>481</v>
      </c>
      <c r="C44" s="411">
        <f>C20*C2*(C4+C5+C6)</f>
        <v>4</v>
      </c>
      <c r="D44" s="620"/>
      <c r="E44" s="621">
        <f>D44*C44</f>
        <v>0</v>
      </c>
      <c r="F44" s="508"/>
      <c r="G44" s="474"/>
      <c r="H44" s="474"/>
      <c r="I44" s="474"/>
      <c r="J44" s="474"/>
      <c r="K44" s="474"/>
      <c r="L44" s="474"/>
    </row>
    <row r="45" spans="1:12" ht="12" customHeight="1">
      <c r="A45" s="474"/>
      <c r="B45" s="520" t="s">
        <v>370</v>
      </c>
      <c r="C45" s="416">
        <f>C19*2*C2*(C4+C5+C6)</f>
        <v>0</v>
      </c>
      <c r="D45" s="620"/>
      <c r="E45" s="621">
        <f>D45*C45</f>
        <v>0</v>
      </c>
      <c r="F45" s="508"/>
      <c r="G45" s="474"/>
      <c r="H45" s="474"/>
      <c r="I45" s="474"/>
      <c r="J45" s="474"/>
      <c r="K45" s="474"/>
      <c r="L45" s="474"/>
    </row>
    <row r="46" spans="1:12" ht="12" customHeight="1">
      <c r="A46" s="474"/>
      <c r="B46" s="520" t="s">
        <v>484</v>
      </c>
      <c r="C46" s="416">
        <f>(C17+C18)*C2*(C4+C5+C6)</f>
        <v>0</v>
      </c>
      <c r="D46" s="622"/>
      <c r="E46" s="621">
        <f>C46*D46</f>
        <v>0</v>
      </c>
      <c r="F46" s="508"/>
      <c r="G46" s="474"/>
      <c r="H46" s="474"/>
      <c r="I46" s="474"/>
      <c r="J46" s="474"/>
      <c r="K46" s="474"/>
      <c r="L46" s="474"/>
    </row>
    <row r="47" spans="1:12" ht="12" customHeight="1">
      <c r="A47" s="474"/>
      <c r="B47" s="520" t="s">
        <v>480</v>
      </c>
      <c r="C47" s="416">
        <f>C20*C2*(C4+C5+C6)</f>
        <v>4</v>
      </c>
      <c r="D47" s="620"/>
      <c r="E47" s="621">
        <f>D47*C47</f>
        <v>0</v>
      </c>
      <c r="F47" s="508"/>
      <c r="G47" s="474"/>
      <c r="H47" s="474"/>
      <c r="I47" s="474"/>
      <c r="J47" s="474"/>
      <c r="K47" s="474"/>
      <c r="L47" s="474"/>
    </row>
    <row r="48" spans="1:12" ht="12" customHeight="1">
      <c r="A48" s="474"/>
      <c r="B48" s="520" t="s">
        <v>544</v>
      </c>
      <c r="C48" s="416">
        <f>C18*C2*(C4+C5+C6)</f>
        <v>0</v>
      </c>
      <c r="D48" s="620"/>
      <c r="E48" s="621">
        <f>D48*C48</f>
        <v>0</v>
      </c>
      <c r="F48" s="508"/>
      <c r="G48" s="474"/>
      <c r="H48" s="474"/>
      <c r="I48" s="474"/>
      <c r="J48" s="474"/>
      <c r="K48" s="474"/>
      <c r="L48" s="474"/>
    </row>
    <row r="49" spans="1:12" ht="12" customHeight="1">
      <c r="A49" s="474"/>
      <c r="B49" s="520" t="s">
        <v>371</v>
      </c>
      <c r="C49" s="416">
        <f>C17*C2*(C4+C5*C6)</f>
        <v>0</v>
      </c>
      <c r="D49" s="620"/>
      <c r="E49" s="621">
        <f t="shared" ref="E49:E83" si="2">C49*D49</f>
        <v>0</v>
      </c>
      <c r="F49" s="508"/>
      <c r="G49" s="474"/>
      <c r="H49" s="474"/>
      <c r="I49" s="474"/>
      <c r="J49" s="474"/>
      <c r="K49" s="474"/>
      <c r="L49" s="474"/>
    </row>
    <row r="50" spans="1:12" ht="12" customHeight="1">
      <c r="A50" s="474"/>
      <c r="B50" s="520" t="s">
        <v>372</v>
      </c>
      <c r="C50" s="416">
        <f>C19*C2*(C4+C5+C6)</f>
        <v>0</v>
      </c>
      <c r="D50" s="620"/>
      <c r="E50" s="621">
        <f t="shared" si="2"/>
        <v>0</v>
      </c>
      <c r="F50" s="508"/>
      <c r="G50" s="474"/>
      <c r="H50" s="474"/>
      <c r="I50" s="474"/>
      <c r="J50" s="474"/>
      <c r="K50" s="474"/>
      <c r="L50" s="474"/>
    </row>
    <row r="51" spans="1:12" ht="12" customHeight="1">
      <c r="A51" s="474"/>
      <c r="B51" s="518" t="s">
        <v>468</v>
      </c>
      <c r="C51" s="411">
        <f>C2*C4</f>
        <v>0</v>
      </c>
      <c r="D51" s="620"/>
      <c r="E51" s="621">
        <f t="shared" si="2"/>
        <v>0</v>
      </c>
      <c r="F51" s="508"/>
      <c r="G51" s="474"/>
      <c r="H51" s="474"/>
      <c r="I51" s="474"/>
      <c r="J51" s="474"/>
      <c r="K51" s="474"/>
      <c r="L51" s="474"/>
    </row>
    <row r="52" spans="1:12" ht="12" customHeight="1">
      <c r="A52" s="474"/>
      <c r="B52" s="518" t="s">
        <v>469</v>
      </c>
      <c r="C52" s="411">
        <f>C2*C5</f>
        <v>0</v>
      </c>
      <c r="D52" s="620"/>
      <c r="E52" s="621">
        <f t="shared" si="2"/>
        <v>0</v>
      </c>
      <c r="F52" s="508"/>
      <c r="G52" s="474"/>
      <c r="H52" s="674"/>
      <c r="I52" s="474"/>
      <c r="J52" s="474"/>
      <c r="K52" s="474"/>
      <c r="L52" s="474"/>
    </row>
    <row r="53" spans="1:12" ht="12" customHeight="1">
      <c r="A53" s="474"/>
      <c r="B53" s="518" t="s">
        <v>608</v>
      </c>
      <c r="C53" s="411">
        <f>C2*C6</f>
        <v>4</v>
      </c>
      <c r="D53" s="620"/>
      <c r="E53" s="621">
        <f>C53*D53</f>
        <v>0</v>
      </c>
      <c r="F53" s="508"/>
      <c r="G53" s="474"/>
      <c r="H53" s="474"/>
      <c r="I53" s="474"/>
      <c r="J53" s="474"/>
      <c r="K53" s="474"/>
      <c r="L53" s="474"/>
    </row>
    <row r="54" spans="1:12" ht="12" customHeight="1">
      <c r="A54" s="474"/>
      <c r="B54" s="704" t="s">
        <v>647</v>
      </c>
      <c r="C54" s="411">
        <f>IF(AND(C7=1,C8=1),(C4+C5+C6)*C2,0)</f>
        <v>0</v>
      </c>
      <c r="D54" s="620"/>
      <c r="E54" s="621">
        <f t="shared" si="2"/>
        <v>0</v>
      </c>
      <c r="F54" s="508"/>
      <c r="G54" s="474"/>
      <c r="H54" s="474"/>
      <c r="I54" s="474"/>
      <c r="J54" s="474"/>
      <c r="K54" s="474"/>
      <c r="L54" s="474"/>
    </row>
    <row r="55" spans="1:12" ht="12" customHeight="1">
      <c r="A55" s="474"/>
      <c r="B55" s="518" t="s">
        <v>449</v>
      </c>
      <c r="C55" s="411">
        <f>(C4+C5+C6)*2</f>
        <v>2</v>
      </c>
      <c r="D55" s="620"/>
      <c r="E55" s="621">
        <f t="shared" si="2"/>
        <v>0</v>
      </c>
      <c r="F55" s="508"/>
      <c r="G55" s="474"/>
      <c r="H55" s="474"/>
      <c r="I55" s="474"/>
      <c r="J55" s="474"/>
      <c r="K55" s="474"/>
      <c r="L55" s="474"/>
    </row>
    <row r="56" spans="1:12" ht="12" customHeight="1">
      <c r="A56" s="474"/>
      <c r="B56" s="520" t="s">
        <v>666</v>
      </c>
      <c r="C56" s="416">
        <f>IF(C7=1,(C4+C5+C6)*2*C3,0)</f>
        <v>0</v>
      </c>
      <c r="D56" s="620"/>
      <c r="E56" s="621">
        <f t="shared" si="2"/>
        <v>0</v>
      </c>
      <c r="F56" s="508"/>
      <c r="G56" s="474"/>
      <c r="H56" s="474"/>
      <c r="I56" s="474"/>
      <c r="J56" s="474"/>
      <c r="K56" s="474"/>
      <c r="L56" s="474"/>
    </row>
    <row r="57" spans="1:12" ht="12" customHeight="1">
      <c r="A57" s="474"/>
      <c r="B57" s="520" t="s">
        <v>667</v>
      </c>
      <c r="C57" s="416">
        <f>IF(C7=1,(C4+C5+C6)*2*C3,0)</f>
        <v>0</v>
      </c>
      <c r="D57" s="620"/>
      <c r="E57" s="621">
        <f t="shared" si="2"/>
        <v>0</v>
      </c>
      <c r="F57" s="508"/>
      <c r="G57" s="474"/>
      <c r="H57" s="474"/>
      <c r="I57" s="474"/>
      <c r="J57" s="474"/>
      <c r="K57" s="474"/>
      <c r="L57" s="474"/>
    </row>
    <row r="58" spans="1:12" ht="12" customHeight="1">
      <c r="A58" s="474"/>
      <c r="B58" s="518" t="s">
        <v>668</v>
      </c>
      <c r="C58" s="411">
        <f>(C4+C5+C6)*C2</f>
        <v>4</v>
      </c>
      <c r="D58" s="620"/>
      <c r="E58" s="621">
        <f t="shared" si="2"/>
        <v>0</v>
      </c>
      <c r="F58" s="508"/>
      <c r="G58" s="474"/>
      <c r="H58" s="474"/>
      <c r="I58" s="474"/>
      <c r="J58" s="474"/>
      <c r="K58" s="474"/>
      <c r="L58" s="474"/>
    </row>
    <row r="59" spans="1:12" ht="12" customHeight="1">
      <c r="A59" s="474"/>
      <c r="B59" s="518" t="s">
        <v>669</v>
      </c>
      <c r="C59" s="411">
        <f>(C4+C5+C6)*C2</f>
        <v>4</v>
      </c>
      <c r="D59" s="620"/>
      <c r="E59" s="621">
        <f t="shared" si="2"/>
        <v>0</v>
      </c>
      <c r="F59" s="508"/>
      <c r="G59" s="474"/>
      <c r="H59" s="474"/>
      <c r="I59" s="474"/>
      <c r="J59" s="474"/>
      <c r="K59" s="474"/>
      <c r="L59" s="474"/>
    </row>
    <row r="60" spans="1:12" ht="12" customHeight="1">
      <c r="A60" s="474"/>
      <c r="B60" s="520" t="s">
        <v>654</v>
      </c>
      <c r="C60" s="416">
        <f>IF(C21=0,C4+C5+C6,0)</f>
        <v>1</v>
      </c>
      <c r="D60" s="620"/>
      <c r="E60" s="621">
        <f t="shared" si="2"/>
        <v>0</v>
      </c>
      <c r="F60" s="508"/>
      <c r="G60" s="474"/>
      <c r="H60" s="474"/>
      <c r="I60" s="474"/>
      <c r="J60" s="474"/>
      <c r="K60" s="474"/>
      <c r="L60" s="474"/>
    </row>
    <row r="61" spans="1:12" ht="12" customHeight="1">
      <c r="A61" s="474"/>
      <c r="B61" s="520" t="s">
        <v>733</v>
      </c>
      <c r="C61" s="416">
        <f>IF(C16=1,(C4+C5+C6)*2,0)</f>
        <v>0</v>
      </c>
      <c r="D61" s="620"/>
      <c r="E61" s="621">
        <f t="shared" si="2"/>
        <v>0</v>
      </c>
      <c r="F61" s="508"/>
      <c r="G61" s="474"/>
      <c r="H61" s="474"/>
      <c r="I61" s="474"/>
      <c r="J61" s="474"/>
      <c r="K61" s="474"/>
      <c r="L61" s="474"/>
    </row>
    <row r="62" spans="1:12" ht="12" customHeight="1">
      <c r="A62" s="474"/>
      <c r="B62" s="520" t="s">
        <v>733</v>
      </c>
      <c r="C62" s="416">
        <f>(C4+C5+C6)*4</f>
        <v>4</v>
      </c>
      <c r="D62" s="620"/>
      <c r="E62" s="621">
        <f t="shared" si="2"/>
        <v>0</v>
      </c>
      <c r="F62" s="508"/>
      <c r="G62" s="474"/>
      <c r="H62" s="474"/>
      <c r="I62" s="474"/>
      <c r="J62" s="474"/>
      <c r="K62" s="474"/>
      <c r="L62" s="474"/>
    </row>
    <row r="63" spans="1:12" ht="12" customHeight="1">
      <c r="A63" s="474"/>
      <c r="B63" s="594" t="s">
        <v>545</v>
      </c>
      <c r="C63" s="416">
        <f>IF(C7=1,(C4+C5+C6)*2,0)</f>
        <v>0</v>
      </c>
      <c r="D63" s="620"/>
      <c r="E63" s="621">
        <f t="shared" si="2"/>
        <v>0</v>
      </c>
      <c r="F63" s="508"/>
      <c r="G63" s="474"/>
      <c r="H63" s="474"/>
      <c r="I63" s="474"/>
      <c r="J63" s="474"/>
      <c r="K63" s="474"/>
      <c r="L63" s="474"/>
    </row>
    <row r="64" spans="1:12" ht="12" customHeight="1">
      <c r="A64" s="474"/>
      <c r="B64" s="704" t="s">
        <v>670</v>
      </c>
      <c r="C64" s="468">
        <f>IF(AND(C8=0,C7=1),(C4+C5+C6)*2,0)</f>
        <v>0</v>
      </c>
      <c r="D64" s="623"/>
      <c r="E64" s="621">
        <f t="shared" si="2"/>
        <v>0</v>
      </c>
      <c r="F64" s="508"/>
      <c r="G64" s="474"/>
      <c r="H64" s="474"/>
      <c r="I64" s="474"/>
      <c r="J64" s="474"/>
      <c r="K64" s="474"/>
      <c r="L64" s="474"/>
    </row>
    <row r="65" spans="1:12" ht="12" customHeight="1">
      <c r="A65" s="474"/>
      <c r="B65" s="704" t="s">
        <v>671</v>
      </c>
      <c r="C65" s="468">
        <f>C7*2*(C4+C5+C6)</f>
        <v>0</v>
      </c>
      <c r="D65" s="623"/>
      <c r="E65" s="621">
        <f t="shared" si="2"/>
        <v>0</v>
      </c>
      <c r="F65" s="508"/>
      <c r="G65" s="474"/>
      <c r="H65" s="474"/>
      <c r="I65" s="474"/>
      <c r="J65" s="474"/>
      <c r="K65" s="474"/>
      <c r="L65" s="474"/>
    </row>
    <row r="66" spans="1:12" ht="12" customHeight="1">
      <c r="A66" s="474"/>
      <c r="B66" s="704" t="s">
        <v>672</v>
      </c>
      <c r="C66" s="468">
        <f>IF(AND(C7=1,C8=1),(C4+C5+C6)*2,0)</f>
        <v>0</v>
      </c>
      <c r="D66" s="623"/>
      <c r="E66" s="621">
        <f t="shared" si="2"/>
        <v>0</v>
      </c>
      <c r="F66" s="508"/>
      <c r="G66" s="474"/>
      <c r="H66" s="474"/>
      <c r="I66" s="474"/>
      <c r="J66" s="474"/>
      <c r="K66" s="474"/>
      <c r="L66" s="474"/>
    </row>
    <row r="67" spans="1:12" ht="12" customHeight="1">
      <c r="A67" s="474"/>
      <c r="B67" s="704" t="s">
        <v>472</v>
      </c>
      <c r="C67" s="468">
        <f>C7*2*(C4+C5+C6)</f>
        <v>0</v>
      </c>
      <c r="D67" s="623"/>
      <c r="E67" s="621">
        <f t="shared" si="2"/>
        <v>0</v>
      </c>
      <c r="F67" s="508"/>
      <c r="G67" s="474"/>
      <c r="H67" s="474"/>
      <c r="I67" s="474"/>
      <c r="J67" s="474"/>
      <c r="K67" s="474"/>
      <c r="L67" s="474"/>
    </row>
    <row r="68" spans="1:12" ht="12" customHeight="1">
      <c r="A68" s="474"/>
      <c r="B68" s="704" t="s">
        <v>490</v>
      </c>
      <c r="C68" s="468">
        <f>C2*(C4+C5+C6)</f>
        <v>4</v>
      </c>
      <c r="D68" s="623"/>
      <c r="E68" s="621">
        <f t="shared" si="2"/>
        <v>0</v>
      </c>
      <c r="F68" s="508"/>
      <c r="G68" s="474"/>
      <c r="H68" s="474"/>
      <c r="I68" s="474"/>
      <c r="J68" s="474"/>
      <c r="K68" s="474"/>
      <c r="L68" s="474"/>
    </row>
    <row r="69" spans="1:12" ht="12" customHeight="1">
      <c r="A69" s="474"/>
      <c r="B69" s="704" t="s">
        <v>490</v>
      </c>
      <c r="C69" s="468">
        <f>IF(C8=1,C2*(C4+C5+C6),0)</f>
        <v>0</v>
      </c>
      <c r="D69" s="623"/>
      <c r="E69" s="621">
        <f t="shared" si="2"/>
        <v>0</v>
      </c>
      <c r="F69" s="508"/>
      <c r="G69" s="474"/>
      <c r="H69" s="474"/>
      <c r="I69" s="474"/>
      <c r="J69" s="474"/>
      <c r="K69" s="474"/>
      <c r="L69" s="474"/>
    </row>
    <row r="70" spans="1:12" ht="12" customHeight="1">
      <c r="A70" s="474"/>
      <c r="B70" s="704" t="s">
        <v>489</v>
      </c>
      <c r="C70" s="468">
        <f>IF(C7=1,C3*4*(C4+C5+C6),0)</f>
        <v>0</v>
      </c>
      <c r="D70" s="623"/>
      <c r="E70" s="621">
        <f t="shared" si="2"/>
        <v>0</v>
      </c>
      <c r="F70" s="508"/>
      <c r="G70" s="474"/>
      <c r="H70" s="474"/>
      <c r="I70" s="474"/>
      <c r="J70" s="474"/>
      <c r="K70" s="474"/>
      <c r="L70" s="474"/>
    </row>
    <row r="71" spans="1:12" ht="12" customHeight="1">
      <c r="A71" s="474"/>
      <c r="B71" s="521" t="s">
        <v>385</v>
      </c>
      <c r="C71" s="423">
        <f>C9*C4</f>
        <v>0</v>
      </c>
      <c r="D71" s="622"/>
      <c r="E71" s="621">
        <f t="shared" si="2"/>
        <v>0</v>
      </c>
      <c r="F71" s="508"/>
      <c r="G71" s="474"/>
      <c r="H71" s="474"/>
      <c r="I71" s="474"/>
      <c r="J71" s="474"/>
      <c r="K71" s="474"/>
      <c r="L71" s="474"/>
    </row>
    <row r="72" spans="1:12" ht="12" customHeight="1">
      <c r="A72" s="474"/>
      <c r="B72" s="521" t="s">
        <v>605</v>
      </c>
      <c r="C72" s="423">
        <f>C12*C4</f>
        <v>0</v>
      </c>
      <c r="D72" s="622"/>
      <c r="E72" s="621">
        <f t="shared" si="2"/>
        <v>0</v>
      </c>
      <c r="F72" s="508"/>
      <c r="G72" s="474"/>
      <c r="H72" s="474"/>
      <c r="I72" s="474"/>
      <c r="J72" s="474"/>
      <c r="K72" s="474"/>
      <c r="L72" s="474"/>
    </row>
    <row r="73" spans="1:12" ht="12" customHeight="1">
      <c r="A73" s="474"/>
      <c r="B73" s="521" t="s">
        <v>443</v>
      </c>
      <c r="C73" s="423">
        <f>C10*C5</f>
        <v>0</v>
      </c>
      <c r="D73" s="622"/>
      <c r="E73" s="621">
        <f t="shared" si="2"/>
        <v>0</v>
      </c>
      <c r="F73" s="508"/>
      <c r="G73" s="474"/>
      <c r="H73" s="474"/>
      <c r="I73" s="474"/>
      <c r="J73" s="474"/>
      <c r="K73" s="474"/>
      <c r="L73" s="474"/>
    </row>
    <row r="74" spans="1:12" ht="12" customHeight="1">
      <c r="A74" s="474"/>
      <c r="B74" s="521" t="s">
        <v>609</v>
      </c>
      <c r="C74" s="423">
        <f>C6*C11</f>
        <v>1</v>
      </c>
      <c r="D74" s="417"/>
      <c r="E74" s="413">
        <f t="shared" si="2"/>
        <v>0</v>
      </c>
      <c r="F74" s="508"/>
      <c r="G74" s="474"/>
      <c r="H74" s="474"/>
      <c r="I74" s="474"/>
      <c r="J74" s="474"/>
      <c r="K74" s="474"/>
      <c r="L74" s="474"/>
    </row>
    <row r="75" spans="1:12" ht="12" customHeight="1">
      <c r="A75" s="474"/>
      <c r="B75" s="521" t="s">
        <v>610</v>
      </c>
      <c r="C75" s="423">
        <f>C6*C14</f>
        <v>0</v>
      </c>
      <c r="D75" s="417"/>
      <c r="E75" s="413">
        <f t="shared" si="2"/>
        <v>0</v>
      </c>
      <c r="F75" s="508"/>
      <c r="G75" s="474"/>
      <c r="H75" s="474"/>
      <c r="I75" s="474"/>
      <c r="J75" s="474"/>
      <c r="K75" s="474"/>
      <c r="L75" s="474"/>
    </row>
    <row r="76" spans="1:12" ht="12" customHeight="1">
      <c r="A76" s="474"/>
      <c r="B76" s="521" t="s">
        <v>606</v>
      </c>
      <c r="C76" s="423">
        <f>C13*C5</f>
        <v>0</v>
      </c>
      <c r="D76" s="622"/>
      <c r="E76" s="621">
        <f t="shared" si="2"/>
        <v>0</v>
      </c>
      <c r="F76" s="508"/>
      <c r="G76" s="474"/>
      <c r="H76" s="474"/>
      <c r="I76" s="474"/>
      <c r="J76" s="474"/>
      <c r="K76" s="474"/>
      <c r="L76" s="474"/>
    </row>
    <row r="77" spans="1:12" ht="12" customHeight="1">
      <c r="A77" s="474"/>
      <c r="B77" s="520" t="s">
        <v>432</v>
      </c>
      <c r="C77" s="423">
        <f>IF(C16&gt;0,C16*C3*2*(C4+C5+C6)+0.3,0)</f>
        <v>0</v>
      </c>
      <c r="D77" s="622"/>
      <c r="E77" s="621">
        <f t="shared" si="2"/>
        <v>0</v>
      </c>
      <c r="F77" s="508"/>
      <c r="G77" s="474"/>
      <c r="H77" s="474"/>
      <c r="I77" s="474"/>
      <c r="J77" s="474"/>
      <c r="K77" s="474"/>
      <c r="L77" s="474"/>
    </row>
    <row r="78" spans="1:12" ht="12" customHeight="1">
      <c r="A78" s="474"/>
      <c r="B78" s="520" t="s">
        <v>433</v>
      </c>
      <c r="C78" s="423">
        <f>IF(C16=1,C16*2*(C4+C5+C6),0)</f>
        <v>0</v>
      </c>
      <c r="D78" s="622"/>
      <c r="E78" s="621">
        <f t="shared" si="2"/>
        <v>0</v>
      </c>
      <c r="F78" s="508"/>
      <c r="G78" s="474"/>
      <c r="H78" s="474"/>
      <c r="I78" s="474"/>
      <c r="J78" s="474"/>
      <c r="K78" s="474"/>
      <c r="L78" s="474"/>
    </row>
    <row r="79" spans="1:12" ht="12" customHeight="1">
      <c r="A79" s="474"/>
      <c r="B79" s="520" t="s">
        <v>434</v>
      </c>
      <c r="C79" s="423">
        <f>C16*2*(C4+C5+C6)</f>
        <v>0</v>
      </c>
      <c r="D79" s="622"/>
      <c r="E79" s="621">
        <f t="shared" si="2"/>
        <v>0</v>
      </c>
      <c r="F79" s="508"/>
      <c r="G79" s="474"/>
      <c r="H79" s="474"/>
      <c r="I79" s="474"/>
      <c r="J79" s="474"/>
      <c r="K79" s="474"/>
      <c r="L79" s="474"/>
    </row>
    <row r="80" spans="1:12" ht="12" customHeight="1">
      <c r="A80" s="474"/>
      <c r="B80" s="520" t="s">
        <v>435</v>
      </c>
      <c r="C80" s="423">
        <f>C16*2*(C4+C5+C6)</f>
        <v>0</v>
      </c>
      <c r="D80" s="622"/>
      <c r="E80" s="621">
        <f t="shared" si="2"/>
        <v>0</v>
      </c>
      <c r="F80" s="522"/>
      <c r="G80" s="474"/>
      <c r="H80" s="474"/>
      <c r="I80" s="474"/>
      <c r="J80" s="474"/>
      <c r="K80" s="474"/>
      <c r="L80" s="474"/>
    </row>
    <row r="81" spans="1:12" ht="12" customHeight="1">
      <c r="A81" s="474"/>
      <c r="B81" s="594" t="s">
        <v>145</v>
      </c>
      <c r="C81" s="575">
        <f>C23</f>
        <v>0</v>
      </c>
      <c r="D81" s="591"/>
      <c r="E81" s="469">
        <f t="shared" si="2"/>
        <v>0</v>
      </c>
      <c r="F81" s="522"/>
      <c r="G81" s="474"/>
      <c r="H81" s="474"/>
      <c r="I81" s="474"/>
      <c r="J81" s="474"/>
      <c r="K81" s="474"/>
      <c r="L81" s="474"/>
    </row>
    <row r="82" spans="1:12" ht="12" customHeight="1">
      <c r="A82" s="474"/>
      <c r="B82" s="520" t="s">
        <v>148</v>
      </c>
      <c r="C82" s="416">
        <f>C22</f>
        <v>1</v>
      </c>
      <c r="D82" s="422"/>
      <c r="E82" s="413">
        <f t="shared" si="2"/>
        <v>0</v>
      </c>
      <c r="F82" s="522"/>
      <c r="G82" s="474"/>
      <c r="H82" s="474"/>
      <c r="I82" s="474"/>
      <c r="J82" s="474"/>
      <c r="K82" s="474"/>
      <c r="L82" s="474"/>
    </row>
    <row r="83" spans="1:12" ht="12" customHeight="1" thickBot="1">
      <c r="A83" s="474"/>
      <c r="B83" s="595" t="s">
        <v>436</v>
      </c>
      <c r="C83" s="471">
        <f>C16*2*(C4+C5+C6)</f>
        <v>0</v>
      </c>
      <c r="D83" s="624"/>
      <c r="E83" s="625">
        <f t="shared" si="2"/>
        <v>0</v>
      </c>
      <c r="F83" s="508"/>
      <c r="G83" s="474"/>
      <c r="H83" s="474"/>
      <c r="I83" s="474"/>
      <c r="J83" s="474"/>
      <c r="K83" s="474"/>
      <c r="L83" s="474"/>
    </row>
    <row r="84" spans="1:12" ht="12" customHeight="1" thickBot="1">
      <c r="A84" s="474"/>
      <c r="B84" s="508"/>
      <c r="C84" s="508"/>
      <c r="D84" s="524" t="s">
        <v>9</v>
      </c>
      <c r="E84" s="596">
        <f>SUMIF(E26:E83,"&gt;0",E26:E83)</f>
        <v>0</v>
      </c>
      <c r="F84" s="508"/>
      <c r="G84" s="474"/>
      <c r="H84" s="474"/>
      <c r="I84" s="474"/>
      <c r="J84" s="474"/>
      <c r="K84" s="474"/>
      <c r="L84" s="474"/>
    </row>
    <row r="85" spans="1:12" ht="12" customHeight="1">
      <c r="A85" s="474"/>
      <c r="B85" s="508"/>
      <c r="C85" s="508"/>
      <c r="D85" s="508"/>
      <c r="E85" s="508"/>
      <c r="F85" s="508"/>
      <c r="G85" s="474"/>
      <c r="H85" s="474"/>
      <c r="I85" s="474"/>
      <c r="J85" s="474"/>
      <c r="K85" s="474"/>
      <c r="L85" s="474"/>
    </row>
    <row r="86" spans="1:12" ht="12" customHeight="1">
      <c r="A86" s="474"/>
      <c r="B86" s="508"/>
      <c r="C86" s="508"/>
      <c r="D86" s="508"/>
      <c r="E86" s="508"/>
      <c r="F86" s="508"/>
      <c r="G86" s="474"/>
      <c r="H86" s="474"/>
      <c r="I86" s="474"/>
      <c r="J86" s="474"/>
      <c r="K86" s="474"/>
      <c r="L86" s="474"/>
    </row>
    <row r="87" spans="1:12" ht="12" customHeight="1">
      <c r="A87" s="474"/>
      <c r="B87" s="474"/>
      <c r="C87" s="474"/>
      <c r="D87" s="474"/>
      <c r="E87" s="474"/>
      <c r="F87" s="474"/>
      <c r="G87" s="474"/>
      <c r="H87" s="474"/>
      <c r="I87" s="474"/>
      <c r="J87" s="474"/>
      <c r="K87" s="474"/>
      <c r="L87" s="474"/>
    </row>
    <row r="88" spans="1:12" ht="12" customHeight="1">
      <c r="A88" s="474"/>
      <c r="B88" s="474"/>
      <c r="C88" s="474"/>
      <c r="D88" s="474"/>
      <c r="E88" s="474"/>
      <c r="F88" s="474"/>
      <c r="G88" s="474"/>
      <c r="H88" s="474"/>
      <c r="I88" s="474"/>
      <c r="J88" s="474"/>
      <c r="K88" s="474"/>
      <c r="L88" s="474"/>
    </row>
    <row r="89" spans="1:12" ht="12" customHeight="1">
      <c r="A89" s="474"/>
      <c r="B89" s="474"/>
      <c r="C89" s="474"/>
      <c r="D89" s="474"/>
      <c r="E89" s="474"/>
      <c r="F89" s="474"/>
      <c r="G89" s="474"/>
      <c r="H89" s="474"/>
      <c r="I89" s="474"/>
      <c r="J89" s="474"/>
      <c r="K89" s="474"/>
      <c r="L89" s="474"/>
    </row>
    <row r="90" spans="1:12" ht="12" customHeight="1">
      <c r="A90" s="474"/>
      <c r="B90" s="474"/>
      <c r="C90" s="474"/>
      <c r="D90" s="474"/>
      <c r="E90" s="474"/>
      <c r="F90" s="474"/>
      <c r="G90" s="474"/>
      <c r="H90" s="474"/>
      <c r="I90" s="474"/>
      <c r="J90" s="474"/>
      <c r="K90" s="474"/>
      <c r="L90" s="474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374" priority="66" operator="greaterThan">
      <formula>0</formula>
    </cfRule>
  </conditionalFormatting>
  <conditionalFormatting sqref="J3:J19">
    <cfRule type="cellIs" dxfId="373" priority="12" operator="greaterThan">
      <formula>0</formula>
    </cfRule>
    <cfRule type="cellIs" dxfId="372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371" priority="33" operator="equal">
      <formula>"ДА"</formula>
    </cfRule>
    <cfRule type="cellIs" dxfId="370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9" priority="30" operator="equal">
      <formula>"ДА"</formula>
    </cfRule>
    <cfRule type="cellIs" dxfId="368" priority="31" operator="equal">
      <formula>"НЕТ"</formula>
    </cfRule>
  </conditionalFormatting>
  <conditionalFormatting sqref="I5">
    <cfRule type="cellIs" dxfId="367" priority="27" operator="equal">
      <formula>"ДА"</formula>
    </cfRule>
    <cfRule type="cellIs" dxfId="366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65" priority="23" operator="equal">
      <formula>"ДА"</formula>
    </cfRule>
    <cfRule type="cellIs" dxfId="364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363" priority="19" operator="equal">
      <formula>"ДА"</formula>
    </cfRule>
    <cfRule type="cellIs" dxfId="362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361" priority="17" operator="equal">
      <formula>"ДА"</formula>
    </cfRule>
    <cfRule type="cellIs" dxfId="360" priority="18" operator="equal">
      <formula>"НЕТ"</formula>
    </cfRule>
  </conditionalFormatting>
  <conditionalFormatting sqref="I19">
    <cfRule type="cellIs" dxfId="359" priority="15" operator="equal">
      <formula>"ДА"</formula>
    </cfRule>
    <cfRule type="cellIs" dxfId="358" priority="16" operator="equal">
      <formula>"НЕТ"</formula>
    </cfRule>
  </conditionalFormatting>
  <conditionalFormatting sqref="K3:K19">
    <cfRule type="cellIs" dxfId="357" priority="14" operator="greaterThan">
      <formula>0</formula>
    </cfRule>
  </conditionalFormatting>
  <conditionalFormatting sqref="C74:E74">
    <cfRule type="cellIs" dxfId="356" priority="11" operator="greaterThan">
      <formula>0</formula>
    </cfRule>
  </conditionalFormatting>
  <conditionalFormatting sqref="C75:E75">
    <cfRule type="cellIs" dxfId="355" priority="10" operator="greaterThan">
      <formula>0</formula>
    </cfRule>
  </conditionalFormatting>
  <conditionalFormatting sqref="I15:I19">
    <cfRule type="cellIs" dxfId="354" priority="9" operator="equal">
      <formula>"НЕТ"</formula>
    </cfRule>
  </conditionalFormatting>
  <conditionalFormatting sqref="I3:I19">
    <cfRule type="cellIs" dxfId="353" priority="5" operator="equal">
      <formula>"НЕТ"</formula>
    </cfRule>
    <cfRule type="cellIs" dxfId="352" priority="8" operator="equal">
      <formula>"ДА"</formula>
    </cfRule>
  </conditionalFormatting>
  <conditionalFormatting sqref="C2:C21">
    <cfRule type="cellIs" dxfId="351" priority="7" operator="greaterThan">
      <formula>0</formula>
    </cfRule>
  </conditionalFormatting>
  <conditionalFormatting sqref="C26:E80 C83:E83">
    <cfRule type="cellIs" dxfId="350" priority="6" operator="greaterThan">
      <formula>0</formula>
    </cfRule>
  </conditionalFormatting>
  <conditionalFormatting sqref="I3:I18">
    <cfRule type="cellIs" dxfId="349" priority="4" operator="equal">
      <formula>"ДА"</formula>
    </cfRule>
  </conditionalFormatting>
  <conditionalFormatting sqref="E84">
    <cfRule type="cellIs" dxfId="348" priority="3" operator="greaterThan">
      <formula>0</formula>
    </cfRule>
  </conditionalFormatting>
  <conditionalFormatting sqref="C22:C23">
    <cfRule type="cellIs" dxfId="347" priority="2" operator="greaterThan">
      <formula>0</formula>
    </cfRule>
  </conditionalFormatting>
  <conditionalFormatting sqref="C81:E82">
    <cfRule type="cellIs" dxfId="346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H66" sqref="H66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74"/>
      <c r="B1" s="1164"/>
      <c r="C1" s="1165"/>
      <c r="D1" s="1165"/>
      <c r="E1" s="1165"/>
      <c r="F1" s="474"/>
      <c r="G1" s="474"/>
      <c r="H1" s="474"/>
      <c r="I1" s="474"/>
      <c r="J1" s="474"/>
      <c r="K1" s="474"/>
    </row>
    <row r="2" spans="1:11" ht="12.75" customHeight="1" thickBot="1">
      <c r="A2" s="474"/>
      <c r="B2" s="476" t="s">
        <v>673</v>
      </c>
      <c r="C2" s="527">
        <v>0</v>
      </c>
      <c r="D2" s="1116" t="s">
        <v>602</v>
      </c>
      <c r="E2" s="1117"/>
      <c r="F2" s="1118"/>
      <c r="G2" s="474"/>
      <c r="H2" s="478" t="s">
        <v>492</v>
      </c>
      <c r="I2" s="479" t="s">
        <v>611</v>
      </c>
      <c r="J2" s="545" t="s">
        <v>4</v>
      </c>
      <c r="K2" s="546" t="s">
        <v>8</v>
      </c>
    </row>
    <row r="3" spans="1:11" ht="12.75" thickBot="1">
      <c r="A3" s="474"/>
      <c r="B3" s="481" t="s">
        <v>674</v>
      </c>
      <c r="C3" s="528">
        <v>0</v>
      </c>
      <c r="D3" s="1119"/>
      <c r="E3" s="1120"/>
      <c r="F3" s="1121"/>
      <c r="G3" s="474"/>
      <c r="H3" s="482" t="s">
        <v>379</v>
      </c>
      <c r="I3" s="483" t="str">
        <f>IF(AND($C$6=1,$C$5+$C$7+$C$8=0,$C$9=2),"ДА","НЕТ")</f>
        <v>НЕТ</v>
      </c>
      <c r="J3" s="387"/>
      <c r="K3" s="388">
        <f>IF(I3="ДА",($C$10+$C$11)*J3,0)</f>
        <v>0</v>
      </c>
    </row>
    <row r="4" spans="1:11" ht="12.75" thickBot="1">
      <c r="A4" s="474"/>
      <c r="B4" s="498" t="s">
        <v>127</v>
      </c>
      <c r="C4" s="635">
        <v>0</v>
      </c>
      <c r="D4" s="1168" t="s">
        <v>128</v>
      </c>
      <c r="E4" s="1169"/>
      <c r="F4" s="1170"/>
      <c r="G4" s="474"/>
      <c r="H4" s="485" t="s">
        <v>380</v>
      </c>
      <c r="I4" s="483" t="str">
        <f>IF(AND($C$6=1,$C$5+$C$7+$C$8=0,$C$9=2),"ДА","НЕТ")</f>
        <v>НЕТ</v>
      </c>
      <c r="J4" s="464"/>
      <c r="K4" s="388">
        <f t="shared" ref="K4:K17" si="0">IF(I4="ДА",($C$10+$C$11)*J4,0)</f>
        <v>0</v>
      </c>
    </row>
    <row r="5" spans="1:11" ht="12" customHeight="1">
      <c r="A5" s="474"/>
      <c r="B5" s="476" t="s">
        <v>499</v>
      </c>
      <c r="C5" s="533">
        <v>0</v>
      </c>
      <c r="D5" s="489" t="s">
        <v>294</v>
      </c>
      <c r="E5" s="489" t="s">
        <v>256</v>
      </c>
      <c r="F5" s="1124" t="s">
        <v>604</v>
      </c>
      <c r="G5" s="474"/>
      <c r="H5" s="485" t="s">
        <v>381</v>
      </c>
      <c r="I5" s="483" t="str">
        <f>IF(AND($C$6=1,$C$5+$C$7+$C$8=0,$C$9=2),"ДА","НЕТ")</f>
        <v>НЕТ</v>
      </c>
      <c r="J5" s="464"/>
      <c r="K5" s="388">
        <f t="shared" si="0"/>
        <v>0</v>
      </c>
    </row>
    <row r="6" spans="1:11" ht="12">
      <c r="A6" s="474"/>
      <c r="B6" s="486" t="s">
        <v>497</v>
      </c>
      <c r="C6" s="530">
        <v>0</v>
      </c>
      <c r="D6" s="493" t="s">
        <v>294</v>
      </c>
      <c r="E6" s="493" t="s">
        <v>256</v>
      </c>
      <c r="F6" s="1125"/>
      <c r="G6" s="474"/>
      <c r="H6" s="487" t="s">
        <v>383</v>
      </c>
      <c r="I6" s="483" t="str">
        <f>IF(AND($C$6=1,$C$5+$C$7+$C$8=0,$C$9=3),"ДА","НЕТ")</f>
        <v>НЕТ</v>
      </c>
      <c r="J6" s="391"/>
      <c r="K6" s="388">
        <f t="shared" si="0"/>
        <v>0</v>
      </c>
    </row>
    <row r="7" spans="1:11" ht="12">
      <c r="A7" s="474"/>
      <c r="B7" s="486" t="s">
        <v>500</v>
      </c>
      <c r="C7" s="530">
        <v>0</v>
      </c>
      <c r="D7" s="493" t="s">
        <v>294</v>
      </c>
      <c r="E7" s="493" t="s">
        <v>256</v>
      </c>
      <c r="F7" s="1125"/>
      <c r="G7" s="474"/>
      <c r="H7" s="485" t="s">
        <v>496</v>
      </c>
      <c r="I7" s="483" t="str">
        <f>IF(AND($C$8=1,$C$5+$C$6+$C$7=0,$C$9=1),"ДА","НЕТ")</f>
        <v>НЕТ</v>
      </c>
      <c r="J7" s="464"/>
      <c r="K7" s="388">
        <f t="shared" si="0"/>
        <v>0</v>
      </c>
    </row>
    <row r="8" spans="1:11" ht="12.75" thickBot="1">
      <c r="A8" s="474"/>
      <c r="B8" s="583" t="s">
        <v>498</v>
      </c>
      <c r="C8" s="582">
        <v>0</v>
      </c>
      <c r="D8" s="695" t="s">
        <v>294</v>
      </c>
      <c r="E8" s="585" t="s">
        <v>256</v>
      </c>
      <c r="F8" s="1126"/>
      <c r="G8" s="474"/>
      <c r="H8" s="487" t="s">
        <v>493</v>
      </c>
      <c r="I8" s="483" t="str">
        <f>IF(AND($C$8=1,$C$5+$C$6+$C$7=0,$C$9=3),"ДА","НЕТ")</f>
        <v>НЕТ</v>
      </c>
      <c r="J8" s="391"/>
      <c r="K8" s="388">
        <f t="shared" si="0"/>
        <v>0</v>
      </c>
    </row>
    <row r="9" spans="1:11" ht="12.75" thickBot="1">
      <c r="A9" s="474"/>
      <c r="B9" s="498" t="s">
        <v>596</v>
      </c>
      <c r="C9" s="617">
        <v>0</v>
      </c>
      <c r="D9" s="502" t="s">
        <v>626</v>
      </c>
      <c r="E9" s="503" t="s">
        <v>627</v>
      </c>
      <c r="F9" s="505" t="s">
        <v>628</v>
      </c>
      <c r="G9" s="474"/>
      <c r="H9" s="487" t="s">
        <v>494</v>
      </c>
      <c r="I9" s="483" t="str">
        <f>IF(AND($C$8=1,$C$5+$C$6+$C$7=0,$C$9=2),"ДА","НЕТ")</f>
        <v>НЕТ</v>
      </c>
      <c r="J9" s="391"/>
      <c r="K9" s="388">
        <f t="shared" si="0"/>
        <v>0</v>
      </c>
    </row>
    <row r="10" spans="1:11" ht="12" customHeight="1">
      <c r="A10" s="474"/>
      <c r="B10" s="488" t="s">
        <v>677</v>
      </c>
      <c r="C10" s="636">
        <v>0</v>
      </c>
      <c r="D10" s="1158" t="s">
        <v>604</v>
      </c>
      <c r="E10" s="1159"/>
      <c r="F10" s="1160"/>
      <c r="G10" s="474"/>
      <c r="H10" s="487" t="s">
        <v>495</v>
      </c>
      <c r="I10" s="483" t="str">
        <f>IF(AND($C$8=1,$C$5+$C$6+$C$7=0,$C$9=2),"ДА","НЕТ")</f>
        <v>НЕТ</v>
      </c>
      <c r="J10" s="391"/>
      <c r="K10" s="388">
        <f t="shared" si="0"/>
        <v>0</v>
      </c>
    </row>
    <row r="11" spans="1:11" ht="12.75" thickBot="1">
      <c r="A11" s="474"/>
      <c r="B11" s="583" t="s">
        <v>678</v>
      </c>
      <c r="C11" s="637">
        <v>0</v>
      </c>
      <c r="D11" s="1161"/>
      <c r="E11" s="1162"/>
      <c r="F11" s="1163"/>
      <c r="G11" s="474"/>
      <c r="H11" s="487" t="s">
        <v>501</v>
      </c>
      <c r="I11" s="483" t="str">
        <f>IF(AND($C$8=1,$C$5+$C$6+$C$7=0,$C$9=2),"ДА","НЕТ")</f>
        <v>НЕТ</v>
      </c>
      <c r="J11" s="391"/>
      <c r="K11" s="388">
        <f t="shared" si="0"/>
        <v>0</v>
      </c>
    </row>
    <row r="12" spans="1:11" ht="12.75" thickBot="1">
      <c r="A12" s="474"/>
      <c r="B12" s="498" t="s">
        <v>550</v>
      </c>
      <c r="C12" s="635">
        <v>0</v>
      </c>
      <c r="D12" s="502" t="s">
        <v>294</v>
      </c>
      <c r="E12" s="503" t="s">
        <v>256</v>
      </c>
      <c r="F12" s="1156"/>
      <c r="G12" s="474"/>
      <c r="H12" s="482" t="s">
        <v>388</v>
      </c>
      <c r="I12" s="483" t="str">
        <f>IF(AND($C$5=1,$C$8+$C$7+$C$6=0,$C$9=1),"ДА","НЕТ")</f>
        <v>НЕТ</v>
      </c>
      <c r="J12" s="394"/>
      <c r="K12" s="388">
        <f t="shared" si="0"/>
        <v>0</v>
      </c>
    </row>
    <row r="13" spans="1:11" ht="12.75" thickBot="1">
      <c r="A13" s="474"/>
      <c r="B13" s="498" t="s">
        <v>365</v>
      </c>
      <c r="C13" s="534">
        <v>0</v>
      </c>
      <c r="D13" s="502" t="s">
        <v>366</v>
      </c>
      <c r="E13" s="503" t="s">
        <v>367</v>
      </c>
      <c r="F13" s="1157"/>
      <c r="G13" s="474"/>
      <c r="H13" s="482" t="s">
        <v>389</v>
      </c>
      <c r="I13" s="483" t="str">
        <f>IF(AND($C$5=1,$C$8+$C$7+$C$6=0,$C$9=3),"ДА","НЕТ")</f>
        <v>НЕТ</v>
      </c>
      <c r="J13" s="394"/>
      <c r="K13" s="388">
        <f t="shared" si="0"/>
        <v>0</v>
      </c>
    </row>
    <row r="14" spans="1:11" ht="12" customHeight="1">
      <c r="A14" s="474"/>
      <c r="B14" s="488" t="s">
        <v>368</v>
      </c>
      <c r="C14" s="531">
        <v>0</v>
      </c>
      <c r="D14" s="489" t="s">
        <v>294</v>
      </c>
      <c r="E14" s="490" t="s">
        <v>256</v>
      </c>
      <c r="F14" s="1124" t="s">
        <v>604</v>
      </c>
      <c r="G14" s="474"/>
      <c r="H14" s="482" t="s">
        <v>390</v>
      </c>
      <c r="I14" s="483" t="str">
        <f>IF(AND($C$7=1,$C$6+$C$8+$C$5=0,$C$9=1),"ДА","НЕТ")</f>
        <v>НЕТ</v>
      </c>
      <c r="J14" s="394"/>
      <c r="K14" s="388">
        <f t="shared" si="0"/>
        <v>0</v>
      </c>
    </row>
    <row r="15" spans="1:11" ht="12">
      <c r="A15" s="474"/>
      <c r="B15" s="486" t="s">
        <v>369</v>
      </c>
      <c r="C15" s="530">
        <v>0</v>
      </c>
      <c r="D15" s="493" t="s">
        <v>294</v>
      </c>
      <c r="E15" s="494" t="s">
        <v>256</v>
      </c>
      <c r="F15" s="1125"/>
      <c r="G15" s="474"/>
      <c r="H15" s="485" t="s">
        <v>391</v>
      </c>
      <c r="I15" s="483" t="str">
        <f>IF(AND($C$7=1,$C$6+$C$8+$C$5=0,$C$9=1),"ДА","НЕТ")</f>
        <v>НЕТ</v>
      </c>
      <c r="J15" s="394"/>
      <c r="K15" s="388">
        <f t="shared" si="0"/>
        <v>0</v>
      </c>
    </row>
    <row r="16" spans="1:11" ht="12">
      <c r="A16" s="474"/>
      <c r="B16" s="486" t="s">
        <v>474</v>
      </c>
      <c r="C16" s="530">
        <v>0</v>
      </c>
      <c r="D16" s="493" t="s">
        <v>294</v>
      </c>
      <c r="E16" s="494" t="s">
        <v>256</v>
      </c>
      <c r="F16" s="1125"/>
      <c r="G16" s="474"/>
      <c r="H16" s="482" t="s">
        <v>395</v>
      </c>
      <c r="I16" s="483" t="str">
        <f>IF(AND($C$7=1,$C$6+$C$8+$C$5=0,$C$9=2),"ДА","НЕТ")</f>
        <v>НЕТ</v>
      </c>
      <c r="J16" s="394"/>
      <c r="K16" s="388">
        <f t="shared" si="0"/>
        <v>0</v>
      </c>
    </row>
    <row r="17" spans="1:11" ht="12.75" thickBot="1">
      <c r="A17" s="474"/>
      <c r="B17" s="559" t="s">
        <v>473</v>
      </c>
      <c r="C17" s="541">
        <v>0</v>
      </c>
      <c r="D17" s="695" t="s">
        <v>294</v>
      </c>
      <c r="E17" s="585" t="s">
        <v>256</v>
      </c>
      <c r="F17" s="1126"/>
      <c r="G17" s="474"/>
      <c r="H17" s="506" t="s">
        <v>396</v>
      </c>
      <c r="I17" s="507" t="str">
        <f>IF(AND($C$7=1,$C$6+$C$8+$C$5=0,$C$9=2),"ДА","НЕТ")</f>
        <v>НЕТ</v>
      </c>
      <c r="J17" s="401"/>
      <c r="K17" s="544">
        <f t="shared" si="0"/>
        <v>0</v>
      </c>
    </row>
    <row r="18" spans="1:11" ht="12.75" thickBot="1">
      <c r="A18" s="474"/>
      <c r="B18" s="705" t="s">
        <v>509</v>
      </c>
      <c r="C18" s="635">
        <v>0</v>
      </c>
      <c r="D18" s="1166" t="s">
        <v>547</v>
      </c>
      <c r="E18" s="1167"/>
      <c r="F18" s="706"/>
      <c r="G18" s="474"/>
      <c r="H18" s="633"/>
      <c r="I18" s="634"/>
      <c r="J18" s="707"/>
      <c r="K18" s="406"/>
    </row>
    <row r="19" spans="1:11" ht="12">
      <c r="A19" s="474"/>
      <c r="B19" s="476" t="s">
        <v>147</v>
      </c>
      <c r="C19" s="533">
        <v>0</v>
      </c>
      <c r="D19" s="1127" t="s">
        <v>693</v>
      </c>
      <c r="E19" s="1128"/>
      <c r="F19" s="1129"/>
      <c r="G19" s="474"/>
      <c r="H19" s="633"/>
      <c r="I19" s="634"/>
      <c r="J19" s="707"/>
      <c r="K19" s="406"/>
    </row>
    <row r="20" spans="1:11" ht="12">
      <c r="A20" s="474"/>
      <c r="B20" s="486" t="s">
        <v>146</v>
      </c>
      <c r="C20" s="530">
        <v>0</v>
      </c>
      <c r="D20" s="1130" t="s">
        <v>694</v>
      </c>
      <c r="E20" s="1131"/>
      <c r="F20" s="1132"/>
      <c r="G20" s="474"/>
      <c r="H20" s="633"/>
      <c r="I20" s="634"/>
      <c r="J20" s="707"/>
      <c r="K20" s="406"/>
    </row>
    <row r="21" spans="1:11" ht="12.75" thickBot="1">
      <c r="A21" s="474"/>
      <c r="B21" s="481" t="s">
        <v>143</v>
      </c>
      <c r="C21" s="532">
        <v>0</v>
      </c>
      <c r="D21" s="1133" t="s">
        <v>695</v>
      </c>
      <c r="E21" s="1134"/>
      <c r="F21" s="1135"/>
      <c r="G21" s="474"/>
      <c r="H21" s="633"/>
      <c r="I21" s="634"/>
      <c r="J21" s="707"/>
      <c r="K21" s="406"/>
    </row>
    <row r="22" spans="1:11" ht="12" thickBot="1">
      <c r="A22" s="474"/>
      <c r="B22" s="708"/>
      <c r="C22" s="673"/>
      <c r="D22" s="504"/>
      <c r="E22" s="504"/>
      <c r="F22" s="510"/>
      <c r="G22" s="474"/>
      <c r="H22" s="709"/>
      <c r="I22" s="709"/>
      <c r="J22" s="709"/>
      <c r="K22" s="709"/>
    </row>
    <row r="23" spans="1:11" ht="12.75">
      <c r="A23" s="474"/>
      <c r="B23" s="513" t="s">
        <v>5</v>
      </c>
      <c r="C23" s="514" t="s">
        <v>0</v>
      </c>
      <c r="D23" s="515" t="s">
        <v>4</v>
      </c>
      <c r="E23" s="516" t="s">
        <v>8</v>
      </c>
      <c r="F23" s="508"/>
      <c r="G23" s="474"/>
      <c r="H23" s="474"/>
      <c r="I23" s="474"/>
      <c r="J23" s="474"/>
      <c r="K23" s="474"/>
    </row>
    <row r="24" spans="1:11">
      <c r="A24" s="474"/>
      <c r="B24" s="518" t="s">
        <v>612</v>
      </c>
      <c r="C24" s="411">
        <f>IF(C17=1,C4*(C10+C11),0)</f>
        <v>0</v>
      </c>
      <c r="D24" s="465"/>
      <c r="E24" s="392">
        <f>C24*D24</f>
        <v>0</v>
      </c>
      <c r="F24" s="508"/>
      <c r="G24" s="474"/>
      <c r="H24" s="474"/>
      <c r="I24" s="474"/>
      <c r="J24" s="474"/>
      <c r="K24" s="474"/>
    </row>
    <row r="25" spans="1:11">
      <c r="A25" s="474"/>
      <c r="B25" s="518" t="s">
        <v>679</v>
      </c>
      <c r="C25" s="411">
        <f>IF(C16=1,C4*(C10+C11),0)</f>
        <v>0</v>
      </c>
      <c r="D25" s="465"/>
      <c r="E25" s="392">
        <f t="shared" ref="E25:E69" si="1">C25*D25</f>
        <v>0</v>
      </c>
      <c r="F25" s="508"/>
      <c r="G25" s="474"/>
      <c r="H25" s="474"/>
      <c r="I25" s="474"/>
      <c r="J25" s="474"/>
      <c r="K25" s="474"/>
    </row>
    <row r="26" spans="1:11">
      <c r="A26" s="474"/>
      <c r="B26" s="518" t="s">
        <v>418</v>
      </c>
      <c r="C26" s="411">
        <f>(C14+C15)*C4*(C10+C11)*2</f>
        <v>0</v>
      </c>
      <c r="D26" s="465"/>
      <c r="E26" s="392">
        <f t="shared" si="1"/>
        <v>0</v>
      </c>
      <c r="F26" s="508"/>
      <c r="G26" s="474"/>
      <c r="H26" s="474"/>
      <c r="I26" s="474"/>
      <c r="J26" s="474"/>
      <c r="K26" s="474"/>
    </row>
    <row r="27" spans="1:11">
      <c r="A27" s="474"/>
      <c r="B27" s="520" t="s">
        <v>454</v>
      </c>
      <c r="C27" s="416">
        <f>IF(C13=0,(C10+C11)*2,0)</f>
        <v>0</v>
      </c>
      <c r="D27" s="422"/>
      <c r="E27" s="638">
        <f t="shared" si="1"/>
        <v>0</v>
      </c>
      <c r="F27" s="508"/>
      <c r="G27" s="474"/>
      <c r="H27" s="474"/>
      <c r="I27" s="474"/>
      <c r="J27" s="474"/>
      <c r="K27" s="474"/>
    </row>
    <row r="28" spans="1:11">
      <c r="A28" s="474"/>
      <c r="B28" s="520" t="s">
        <v>531</v>
      </c>
      <c r="C28" s="416">
        <f>IF(C13=1,(C10+C11)*2,0)</f>
        <v>0</v>
      </c>
      <c r="D28" s="422"/>
      <c r="E28" s="638">
        <f t="shared" si="1"/>
        <v>0</v>
      </c>
      <c r="F28" s="508"/>
      <c r="G28" s="474"/>
      <c r="H28" s="474"/>
      <c r="I28" s="474"/>
      <c r="J28" s="474"/>
      <c r="K28" s="474"/>
    </row>
    <row r="29" spans="1:11">
      <c r="A29" s="474"/>
      <c r="B29" s="520" t="s">
        <v>510</v>
      </c>
      <c r="C29" s="416">
        <f>IF(C13=0,(C4-1+C18)*(C10+C11),0)</f>
        <v>0</v>
      </c>
      <c r="D29" s="422"/>
      <c r="E29" s="638">
        <f t="shared" si="1"/>
        <v>0</v>
      </c>
      <c r="F29" s="508"/>
      <c r="G29" s="474"/>
      <c r="H29" s="474"/>
      <c r="I29" s="474"/>
      <c r="J29" s="474"/>
      <c r="K29" s="474"/>
    </row>
    <row r="30" spans="1:11">
      <c r="A30" s="474"/>
      <c r="B30" s="520" t="s">
        <v>549</v>
      </c>
      <c r="C30" s="416">
        <f>IF(C13=1,(C4-1+C18)*(C10+C11),0)</f>
        <v>0</v>
      </c>
      <c r="D30" s="422"/>
      <c r="E30" s="638">
        <f t="shared" si="1"/>
        <v>0</v>
      </c>
      <c r="F30" s="508"/>
      <c r="G30" s="474"/>
      <c r="H30" s="474"/>
      <c r="I30" s="474"/>
      <c r="J30" s="474"/>
      <c r="K30" s="474"/>
    </row>
    <row r="31" spans="1:11">
      <c r="A31" s="474"/>
      <c r="B31" s="520" t="s">
        <v>614</v>
      </c>
      <c r="C31" s="416">
        <f>IF(AND(C12=0,C13=0),(C10+C11)*2,0)</f>
        <v>0</v>
      </c>
      <c r="D31" s="422"/>
      <c r="E31" s="638">
        <f t="shared" si="1"/>
        <v>0</v>
      </c>
      <c r="F31" s="508"/>
      <c r="G31" s="474"/>
      <c r="H31" s="474"/>
      <c r="I31" s="474"/>
      <c r="J31" s="474"/>
      <c r="K31" s="474"/>
    </row>
    <row r="32" spans="1:11">
      <c r="A32" s="474"/>
      <c r="B32" s="520" t="s">
        <v>616</v>
      </c>
      <c r="C32" s="416">
        <f>IF(AND(C12=0,C13=1),(C10+C11)*2,0)</f>
        <v>0</v>
      </c>
      <c r="D32" s="422"/>
      <c r="E32" s="638">
        <f t="shared" si="1"/>
        <v>0</v>
      </c>
      <c r="F32" s="508"/>
      <c r="G32" s="474"/>
      <c r="H32" s="474"/>
      <c r="I32" s="474"/>
      <c r="J32" s="474"/>
      <c r="K32" s="474"/>
    </row>
    <row r="33" spans="1:11">
      <c r="A33" s="474"/>
      <c r="B33" s="520" t="s">
        <v>616</v>
      </c>
      <c r="C33" s="416">
        <f>IF(AND(C12=1,C13=0),(C10+C11)*2,0)</f>
        <v>0</v>
      </c>
      <c r="D33" s="422"/>
      <c r="E33" s="638">
        <f t="shared" si="1"/>
        <v>0</v>
      </c>
      <c r="F33" s="508"/>
      <c r="G33" s="474"/>
      <c r="H33" s="474"/>
      <c r="I33" s="474"/>
      <c r="J33" s="474"/>
      <c r="K33" s="474"/>
    </row>
    <row r="34" spans="1:11">
      <c r="A34" s="474"/>
      <c r="B34" s="520" t="s">
        <v>621</v>
      </c>
      <c r="C34" s="416">
        <f>IF(AND(C12=1,C13=1),(C10+C11)*2,0)</f>
        <v>0</v>
      </c>
      <c r="D34" s="422"/>
      <c r="E34" s="638">
        <f t="shared" si="1"/>
        <v>0</v>
      </c>
      <c r="F34" s="508"/>
      <c r="G34" s="474"/>
      <c r="H34" s="474"/>
      <c r="I34" s="474"/>
      <c r="J34" s="474"/>
      <c r="K34" s="474"/>
    </row>
    <row r="35" spans="1:11">
      <c r="A35" s="474"/>
      <c r="B35" s="518" t="s">
        <v>481</v>
      </c>
      <c r="C35" s="411">
        <f>C16*C2*(C10+C11)</f>
        <v>0</v>
      </c>
      <c r="D35" s="465"/>
      <c r="E35" s="638">
        <f t="shared" si="1"/>
        <v>0</v>
      </c>
      <c r="F35" s="508"/>
      <c r="G35" s="474"/>
      <c r="H35" s="474"/>
      <c r="I35" s="474"/>
      <c r="J35" s="474"/>
      <c r="K35" s="474"/>
    </row>
    <row r="36" spans="1:11">
      <c r="A36" s="474"/>
      <c r="B36" s="518" t="s">
        <v>481</v>
      </c>
      <c r="C36" s="411">
        <f>C2*C10</f>
        <v>0</v>
      </c>
      <c r="D36" s="465"/>
      <c r="E36" s="638">
        <f t="shared" si="1"/>
        <v>0</v>
      </c>
      <c r="F36" s="508"/>
      <c r="G36" s="474"/>
      <c r="H36" s="474"/>
      <c r="I36" s="474"/>
      <c r="J36" s="474"/>
      <c r="K36" s="474"/>
    </row>
    <row r="37" spans="1:11">
      <c r="A37" s="474"/>
      <c r="B37" s="518" t="s">
        <v>370</v>
      </c>
      <c r="C37" s="411">
        <f>C15*C2*2*(C10+C11)</f>
        <v>0</v>
      </c>
      <c r="D37" s="465"/>
      <c r="E37" s="638">
        <f t="shared" si="1"/>
        <v>0</v>
      </c>
      <c r="F37" s="414"/>
      <c r="G37" s="474"/>
      <c r="H37" s="474"/>
      <c r="I37" s="474"/>
      <c r="J37" s="474"/>
      <c r="K37" s="474"/>
    </row>
    <row r="38" spans="1:11">
      <c r="A38" s="474"/>
      <c r="B38" s="518" t="s">
        <v>486</v>
      </c>
      <c r="C38" s="411">
        <f>EVEN(ROUNDDOWN(IF(C12=1,(C12*C2*(C10+C11))/0.5,0),0))</f>
        <v>0</v>
      </c>
      <c r="D38" s="465"/>
      <c r="E38" s="638">
        <f t="shared" si="1"/>
        <v>0</v>
      </c>
      <c r="F38" s="508"/>
      <c r="G38" s="474"/>
      <c r="H38" s="474"/>
      <c r="I38" s="474"/>
      <c r="J38" s="474"/>
      <c r="K38" s="474"/>
    </row>
    <row r="39" spans="1:11">
      <c r="A39" s="474"/>
      <c r="B39" s="520" t="s">
        <v>375</v>
      </c>
      <c r="C39" s="416">
        <f>(C27+C28+C29+C30)*2</f>
        <v>0</v>
      </c>
      <c r="D39" s="622"/>
      <c r="E39" s="638">
        <f t="shared" si="1"/>
        <v>0</v>
      </c>
      <c r="F39" s="508"/>
      <c r="G39" s="474"/>
      <c r="H39" s="474"/>
      <c r="I39" s="474"/>
      <c r="J39" s="474"/>
      <c r="K39" s="474"/>
    </row>
    <row r="40" spans="1:11">
      <c r="A40" s="474"/>
      <c r="B40" s="520" t="s">
        <v>118</v>
      </c>
      <c r="C40" s="416">
        <f>C17*C2*(C10+C11)</f>
        <v>0</v>
      </c>
      <c r="D40" s="422"/>
      <c r="E40" s="638">
        <f t="shared" si="1"/>
        <v>0</v>
      </c>
      <c r="F40" s="508"/>
      <c r="G40" s="474"/>
      <c r="H40" s="474"/>
      <c r="I40" s="474"/>
      <c r="J40" s="474"/>
      <c r="K40" s="474"/>
    </row>
    <row r="41" spans="1:11">
      <c r="A41" s="474"/>
      <c r="B41" s="520" t="s">
        <v>623</v>
      </c>
      <c r="C41" s="416">
        <f>C17*C2*(C10+C11)</f>
        <v>0</v>
      </c>
      <c r="D41" s="422"/>
      <c r="E41" s="638">
        <f t="shared" si="1"/>
        <v>0</v>
      </c>
      <c r="F41" s="508"/>
      <c r="G41" s="474"/>
      <c r="H41" s="474"/>
      <c r="I41" s="474"/>
      <c r="J41" s="474"/>
      <c r="K41" s="474"/>
    </row>
    <row r="42" spans="1:11">
      <c r="A42" s="474"/>
      <c r="B42" s="520" t="s">
        <v>474</v>
      </c>
      <c r="C42" s="416">
        <f>C16*C2*(C10+C11)</f>
        <v>0</v>
      </c>
      <c r="D42" s="422"/>
      <c r="E42" s="638">
        <f t="shared" si="1"/>
        <v>0</v>
      </c>
      <c r="F42" s="508"/>
      <c r="G42" s="474"/>
      <c r="H42" s="474"/>
      <c r="I42" s="474"/>
      <c r="J42" s="474"/>
      <c r="K42" s="474"/>
    </row>
    <row r="43" spans="1:11">
      <c r="A43" s="474"/>
      <c r="B43" s="520" t="s">
        <v>371</v>
      </c>
      <c r="C43" s="416">
        <f>C14*C2*(C10+C11)</f>
        <v>0</v>
      </c>
      <c r="D43" s="622"/>
      <c r="E43" s="638">
        <f t="shared" si="1"/>
        <v>0</v>
      </c>
      <c r="F43" s="414"/>
      <c r="G43" s="474"/>
      <c r="H43" s="474"/>
      <c r="I43" s="474"/>
      <c r="J43" s="474"/>
      <c r="K43" s="474"/>
    </row>
    <row r="44" spans="1:11">
      <c r="A44" s="474"/>
      <c r="B44" s="520" t="s">
        <v>372</v>
      </c>
      <c r="C44" s="416">
        <f>C15*C2*(C10+C11)</f>
        <v>0</v>
      </c>
      <c r="D44" s="622"/>
      <c r="E44" s="638">
        <f t="shared" si="1"/>
        <v>0</v>
      </c>
      <c r="F44" s="414"/>
      <c r="G44" s="474"/>
      <c r="H44" s="474"/>
      <c r="I44" s="474"/>
      <c r="J44" s="474"/>
      <c r="K44" s="474"/>
    </row>
    <row r="45" spans="1:11">
      <c r="A45" s="474"/>
      <c r="B45" s="518" t="s">
        <v>458</v>
      </c>
      <c r="C45" s="411">
        <f>C2*C10</f>
        <v>0</v>
      </c>
      <c r="D45" s="465"/>
      <c r="E45" s="638">
        <f t="shared" si="1"/>
        <v>0</v>
      </c>
      <c r="F45" s="508"/>
      <c r="G45" s="474"/>
      <c r="H45" s="474"/>
      <c r="I45" s="474"/>
      <c r="J45" s="474"/>
      <c r="K45" s="474"/>
    </row>
    <row r="46" spans="1:11">
      <c r="A46" s="474"/>
      <c r="B46" s="518" t="s">
        <v>457</v>
      </c>
      <c r="C46" s="411">
        <f>C2*C11</f>
        <v>0</v>
      </c>
      <c r="D46" s="465"/>
      <c r="E46" s="638">
        <f>C46*D46</f>
        <v>0</v>
      </c>
      <c r="F46" s="508"/>
      <c r="G46" s="474"/>
      <c r="H46" s="474"/>
      <c r="I46" s="474"/>
      <c r="J46" s="474"/>
      <c r="K46" s="474"/>
    </row>
    <row r="47" spans="1:11">
      <c r="A47" s="474"/>
      <c r="B47" s="518" t="s">
        <v>373</v>
      </c>
      <c r="C47" s="411">
        <f>(C11+C10)*C12*C2</f>
        <v>0</v>
      </c>
      <c r="D47" s="422"/>
      <c r="E47" s="413">
        <f>C47*D47</f>
        <v>0</v>
      </c>
      <c r="F47" s="508"/>
      <c r="G47" s="474"/>
      <c r="H47" s="474"/>
      <c r="I47" s="474"/>
      <c r="J47" s="474"/>
      <c r="K47" s="474"/>
    </row>
    <row r="48" spans="1:11">
      <c r="A48" s="474"/>
      <c r="B48" s="518" t="s">
        <v>731</v>
      </c>
      <c r="C48" s="411">
        <f>C11*((C4*2)-2)</f>
        <v>0</v>
      </c>
      <c r="D48" s="422"/>
      <c r="E48" s="413">
        <v>0</v>
      </c>
      <c r="F48" s="508"/>
      <c r="G48" s="474"/>
      <c r="H48" s="474"/>
      <c r="I48" s="474"/>
      <c r="J48" s="474"/>
      <c r="K48" s="474"/>
    </row>
    <row r="49" spans="1:11">
      <c r="A49" s="474"/>
      <c r="B49" s="520" t="s">
        <v>374</v>
      </c>
      <c r="C49" s="416">
        <f>C10</f>
        <v>0</v>
      </c>
      <c r="D49" s="422"/>
      <c r="E49" s="638">
        <f t="shared" si="1"/>
        <v>0</v>
      </c>
      <c r="F49" s="508"/>
      <c r="G49" s="474"/>
      <c r="H49" s="474"/>
      <c r="I49" s="474"/>
      <c r="J49" s="474"/>
      <c r="K49" s="474"/>
    </row>
    <row r="50" spans="1:11">
      <c r="A50" s="474"/>
      <c r="B50" s="520" t="s">
        <v>477</v>
      </c>
      <c r="C50" s="416">
        <f>C11</f>
        <v>0</v>
      </c>
      <c r="D50" s="422"/>
      <c r="E50" s="638">
        <f>C50*D50</f>
        <v>0</v>
      </c>
      <c r="F50" s="508"/>
      <c r="G50" s="474"/>
      <c r="H50" s="474"/>
      <c r="I50" s="474"/>
      <c r="J50" s="474"/>
      <c r="K50" s="474"/>
    </row>
    <row r="51" spans="1:11">
      <c r="A51" s="474"/>
      <c r="B51" s="520" t="s">
        <v>511</v>
      </c>
      <c r="C51" s="416">
        <f>(C4-1)*(C10+C11)</f>
        <v>0</v>
      </c>
      <c r="D51" s="422"/>
      <c r="E51" s="638">
        <f t="shared" si="1"/>
        <v>0</v>
      </c>
      <c r="F51" s="508"/>
      <c r="G51" s="474"/>
      <c r="H51" s="474"/>
      <c r="I51" s="474"/>
      <c r="J51" s="474"/>
      <c r="K51" s="474"/>
    </row>
    <row r="52" spans="1:11">
      <c r="A52" s="474"/>
      <c r="B52" s="520" t="s">
        <v>512</v>
      </c>
      <c r="C52" s="416">
        <f>(C4-1)*(C10+C11)</f>
        <v>0</v>
      </c>
      <c r="D52" s="422"/>
      <c r="E52" s="638">
        <f t="shared" si="1"/>
        <v>0</v>
      </c>
      <c r="F52" s="508"/>
      <c r="G52" s="474"/>
      <c r="H52" s="474"/>
      <c r="I52" s="474"/>
      <c r="J52" s="474"/>
      <c r="K52" s="474"/>
    </row>
    <row r="53" spans="1:11">
      <c r="A53" s="474"/>
      <c r="B53" s="520" t="s">
        <v>836</v>
      </c>
      <c r="C53" s="416">
        <f>C10+C11</f>
        <v>0</v>
      </c>
      <c r="D53" s="422"/>
      <c r="E53" s="638">
        <f t="shared" si="1"/>
        <v>0</v>
      </c>
      <c r="F53" s="508"/>
      <c r="G53" s="474"/>
      <c r="H53" s="474"/>
      <c r="I53" s="474"/>
      <c r="J53" s="474"/>
      <c r="K53" s="474"/>
    </row>
    <row r="54" spans="1:11">
      <c r="A54" s="474"/>
      <c r="B54" s="521" t="s">
        <v>513</v>
      </c>
      <c r="C54" s="468">
        <f>(C4-1+C18)*(C10+C11)</f>
        <v>0</v>
      </c>
      <c r="D54" s="422"/>
      <c r="E54" s="638">
        <f t="shared" si="1"/>
        <v>0</v>
      </c>
      <c r="F54" s="508"/>
      <c r="G54" s="592"/>
      <c r="H54" s="474"/>
      <c r="I54" s="474"/>
      <c r="J54" s="474"/>
      <c r="K54" s="474"/>
    </row>
    <row r="55" spans="1:11" ht="11.25" customHeight="1">
      <c r="A55" s="474"/>
      <c r="B55" s="521" t="s">
        <v>514</v>
      </c>
      <c r="C55" s="468">
        <f>(C4-1+C18)*(C10+C11)</f>
        <v>0</v>
      </c>
      <c r="D55" s="422"/>
      <c r="E55" s="638">
        <f t="shared" si="1"/>
        <v>0</v>
      </c>
      <c r="F55" s="508"/>
      <c r="G55" s="474"/>
      <c r="H55" s="474"/>
      <c r="I55" s="474"/>
      <c r="J55" s="474"/>
      <c r="K55" s="474"/>
    </row>
    <row r="56" spans="1:11" ht="11.25" customHeight="1">
      <c r="A56" s="474"/>
      <c r="B56" s="521" t="s">
        <v>515</v>
      </c>
      <c r="C56" s="468">
        <f>C18*(C10+C11)</f>
        <v>0</v>
      </c>
      <c r="D56" s="422"/>
      <c r="E56" s="638">
        <f t="shared" si="1"/>
        <v>0</v>
      </c>
      <c r="F56" s="508"/>
      <c r="G56" s="474"/>
      <c r="H56" s="474"/>
      <c r="I56" s="474"/>
      <c r="J56" s="474"/>
      <c r="K56" s="474"/>
    </row>
    <row r="57" spans="1:11" ht="11.25" customHeight="1">
      <c r="A57" s="474"/>
      <c r="B57" s="521" t="s">
        <v>461</v>
      </c>
      <c r="C57" s="468">
        <f>(C5+C6)*C10</f>
        <v>0</v>
      </c>
      <c r="D57" s="422"/>
      <c r="E57" s="638">
        <f t="shared" si="1"/>
        <v>0</v>
      </c>
      <c r="F57" s="508"/>
      <c r="G57" s="474"/>
      <c r="H57" s="474"/>
      <c r="I57" s="474"/>
      <c r="J57" s="474"/>
      <c r="K57" s="474"/>
    </row>
    <row r="58" spans="1:11" ht="11.25" customHeight="1">
      <c r="A58" s="474"/>
      <c r="B58" s="521" t="s">
        <v>382</v>
      </c>
      <c r="C58" s="468">
        <f>C6*C10</f>
        <v>0</v>
      </c>
      <c r="D58" s="422"/>
      <c r="E58" s="638">
        <f t="shared" si="1"/>
        <v>0</v>
      </c>
      <c r="F58" s="508"/>
      <c r="G58" s="474"/>
      <c r="H58" s="474"/>
      <c r="I58" s="474"/>
      <c r="J58" s="474"/>
      <c r="K58" s="474"/>
    </row>
    <row r="59" spans="1:11" ht="11.25" customHeight="1">
      <c r="A59" s="474"/>
      <c r="B59" s="521" t="s">
        <v>502</v>
      </c>
      <c r="C59" s="468">
        <f>C6*C10</f>
        <v>0</v>
      </c>
      <c r="D59" s="422"/>
      <c r="E59" s="638">
        <f t="shared" si="1"/>
        <v>0</v>
      </c>
      <c r="F59" s="508"/>
      <c r="G59" s="474"/>
      <c r="H59" s="474"/>
      <c r="I59" s="474"/>
      <c r="J59" s="474"/>
      <c r="K59" s="474"/>
    </row>
    <row r="60" spans="1:11" ht="11.25" customHeight="1">
      <c r="A60" s="474"/>
      <c r="B60" s="521" t="s">
        <v>387</v>
      </c>
      <c r="C60" s="468">
        <f>C5*C10</f>
        <v>0</v>
      </c>
      <c r="D60" s="422"/>
      <c r="E60" s="638">
        <f t="shared" si="1"/>
        <v>0</v>
      </c>
      <c r="F60" s="508"/>
      <c r="G60" s="474"/>
      <c r="H60" s="474"/>
      <c r="I60" s="474"/>
      <c r="J60" s="474"/>
      <c r="K60" s="474"/>
    </row>
    <row r="61" spans="1:11" ht="11.25" customHeight="1">
      <c r="A61" s="474"/>
      <c r="B61" s="521" t="s">
        <v>385</v>
      </c>
      <c r="C61" s="468">
        <f>C11*C8</f>
        <v>0</v>
      </c>
      <c r="D61" s="422"/>
      <c r="E61" s="469">
        <f t="shared" si="1"/>
        <v>0</v>
      </c>
      <c r="F61" s="508"/>
      <c r="G61" s="474"/>
      <c r="H61" s="474"/>
      <c r="I61" s="474"/>
      <c r="J61" s="474"/>
      <c r="K61" s="474"/>
    </row>
    <row r="62" spans="1:11" ht="11.25" customHeight="1">
      <c r="A62" s="474"/>
      <c r="B62" s="521" t="s">
        <v>393</v>
      </c>
      <c r="C62" s="468">
        <f>C11*C7</f>
        <v>0</v>
      </c>
      <c r="D62" s="422"/>
      <c r="E62" s="469">
        <f t="shared" si="1"/>
        <v>0</v>
      </c>
      <c r="F62" s="508"/>
      <c r="G62" s="474"/>
      <c r="H62" s="474"/>
      <c r="I62" s="474"/>
      <c r="J62" s="474"/>
      <c r="K62" s="474"/>
    </row>
    <row r="63" spans="1:11" ht="11.25" customHeight="1">
      <c r="A63" s="474"/>
      <c r="B63" s="521" t="s">
        <v>394</v>
      </c>
      <c r="C63" s="468">
        <f>C11*C7</f>
        <v>0</v>
      </c>
      <c r="D63" s="422"/>
      <c r="E63" s="469">
        <f t="shared" si="1"/>
        <v>0</v>
      </c>
      <c r="F63" s="508"/>
      <c r="G63" s="474"/>
      <c r="H63" s="474"/>
      <c r="I63" s="474"/>
      <c r="J63" s="474"/>
      <c r="K63" s="474"/>
    </row>
    <row r="64" spans="1:11" ht="11.25" customHeight="1">
      <c r="A64" s="474"/>
      <c r="B64" s="521" t="s">
        <v>384</v>
      </c>
      <c r="C64" s="468">
        <f>C11*C8</f>
        <v>0</v>
      </c>
      <c r="D64" s="422"/>
      <c r="E64" s="469">
        <f t="shared" si="1"/>
        <v>0</v>
      </c>
      <c r="F64" s="508"/>
      <c r="G64" s="474"/>
      <c r="H64" s="474"/>
      <c r="I64" s="474"/>
      <c r="J64" s="474"/>
      <c r="K64" s="474"/>
    </row>
    <row r="65" spans="1:11" ht="11.25" customHeight="1">
      <c r="A65" s="474"/>
      <c r="B65" s="520" t="s">
        <v>487</v>
      </c>
      <c r="C65" s="416">
        <f>C11*C2</f>
        <v>0</v>
      </c>
      <c r="D65" s="422"/>
      <c r="E65" s="413">
        <f t="shared" si="1"/>
        <v>0</v>
      </c>
      <c r="F65" s="508"/>
      <c r="G65" s="474"/>
      <c r="H65" s="474"/>
      <c r="I65" s="474"/>
      <c r="J65" s="474"/>
      <c r="K65" s="474"/>
    </row>
    <row r="66" spans="1:11" ht="11.25" customHeight="1">
      <c r="A66" s="474"/>
      <c r="B66" s="594" t="s">
        <v>145</v>
      </c>
      <c r="C66" s="575">
        <f>C20</f>
        <v>0</v>
      </c>
      <c r="D66" s="591"/>
      <c r="E66" s="469">
        <f t="shared" si="1"/>
        <v>0</v>
      </c>
      <c r="F66" s="508"/>
      <c r="G66" s="474"/>
      <c r="H66" s="474"/>
      <c r="I66" s="474"/>
      <c r="J66" s="474"/>
      <c r="K66" s="474"/>
    </row>
    <row r="67" spans="1:11" ht="11.25" customHeight="1">
      <c r="A67" s="474"/>
      <c r="B67" s="594" t="s">
        <v>148</v>
      </c>
      <c r="C67" s="575">
        <f>C19</f>
        <v>0</v>
      </c>
      <c r="D67" s="591"/>
      <c r="E67" s="469">
        <f t="shared" si="1"/>
        <v>0</v>
      </c>
      <c r="F67" s="508"/>
      <c r="G67" s="474"/>
      <c r="H67" s="474"/>
      <c r="I67" s="474"/>
      <c r="J67" s="474"/>
      <c r="K67" s="474"/>
    </row>
    <row r="68" spans="1:11" ht="11.25" customHeight="1">
      <c r="A68" s="474"/>
      <c r="B68" s="594" t="s">
        <v>696</v>
      </c>
      <c r="C68" s="575">
        <f>C21</f>
        <v>0</v>
      </c>
      <c r="D68" s="591"/>
      <c r="E68" s="469">
        <f t="shared" si="1"/>
        <v>0</v>
      </c>
      <c r="F68" s="508"/>
      <c r="G68" s="474"/>
      <c r="H68" s="474"/>
      <c r="I68" s="474"/>
      <c r="J68" s="474"/>
      <c r="K68" s="474"/>
    </row>
    <row r="69" spans="1:11" ht="11.25" customHeight="1" thickBot="1">
      <c r="A69" s="474"/>
      <c r="B69" s="523" t="s">
        <v>837</v>
      </c>
      <c r="C69" s="471">
        <f>C5*C10</f>
        <v>0</v>
      </c>
      <c r="D69" s="542"/>
      <c r="E69" s="639">
        <f t="shared" si="1"/>
        <v>0</v>
      </c>
      <c r="F69" s="522"/>
      <c r="G69" s="474"/>
      <c r="H69" s="474"/>
      <c r="I69" s="474"/>
      <c r="J69" s="474"/>
      <c r="K69" s="474"/>
    </row>
    <row r="70" spans="1:11" ht="11.25" customHeight="1" thickBot="1">
      <c r="A70" s="474"/>
      <c r="B70" s="508"/>
      <c r="C70" s="508"/>
      <c r="D70" s="524" t="s">
        <v>9</v>
      </c>
      <c r="E70" s="710">
        <f>SUMIF(E24:E69,"&gt;0",E24:E69)</f>
        <v>0</v>
      </c>
      <c r="F70" s="711"/>
      <c r="G70" s="474"/>
      <c r="H70" s="474"/>
      <c r="I70" s="474"/>
      <c r="J70" s="474"/>
      <c r="K70" s="474"/>
    </row>
    <row r="71" spans="1:11" ht="11.25" customHeight="1">
      <c r="A71" s="474"/>
      <c r="B71" s="508"/>
      <c r="C71" s="508"/>
      <c r="D71" s="508"/>
      <c r="E71" s="508"/>
      <c r="F71" s="711"/>
      <c r="G71" s="474"/>
      <c r="H71" s="474"/>
      <c r="I71" s="474"/>
      <c r="J71" s="474"/>
      <c r="K71" s="474"/>
    </row>
    <row r="72" spans="1:11" ht="11.25" customHeight="1">
      <c r="A72" s="474"/>
      <c r="B72" s="508"/>
      <c r="C72" s="508"/>
      <c r="D72" s="508"/>
      <c r="E72" s="508"/>
      <c r="F72" s="711"/>
      <c r="G72" s="474"/>
      <c r="H72" s="474"/>
      <c r="I72" s="474"/>
      <c r="J72" s="474"/>
      <c r="K72" s="474"/>
    </row>
    <row r="73" spans="1:11" ht="11.25" customHeight="1">
      <c r="A73" s="474"/>
      <c r="B73" s="474"/>
      <c r="C73" s="474"/>
      <c r="D73" s="474"/>
      <c r="E73" s="474"/>
      <c r="F73" s="712"/>
      <c r="G73" s="474"/>
      <c r="H73" s="474"/>
      <c r="I73" s="474"/>
      <c r="J73" s="474"/>
      <c r="K73" s="474"/>
    </row>
    <row r="74" spans="1:11" ht="11.25" customHeight="1">
      <c r="A74" s="474"/>
      <c r="B74" s="474"/>
      <c r="C74" s="474"/>
      <c r="D74" s="474"/>
      <c r="E74" s="474"/>
      <c r="F74" s="712"/>
      <c r="G74" s="474"/>
      <c r="H74" s="474"/>
      <c r="I74" s="474"/>
      <c r="J74" s="474"/>
      <c r="K74" s="474"/>
    </row>
    <row r="75" spans="1:11">
      <c r="A75" s="474"/>
      <c r="B75" s="474"/>
      <c r="C75" s="474"/>
      <c r="D75" s="474"/>
      <c r="E75" s="474"/>
      <c r="F75" s="712"/>
      <c r="G75" s="474"/>
      <c r="H75" s="474"/>
      <c r="I75" s="474"/>
      <c r="J75" s="474"/>
      <c r="K75" s="474"/>
    </row>
    <row r="76" spans="1:11">
      <c r="A76" s="474"/>
      <c r="B76" s="474"/>
      <c r="C76" s="474"/>
      <c r="D76" s="474"/>
      <c r="E76" s="474"/>
      <c r="F76" s="712"/>
      <c r="G76" s="474"/>
      <c r="H76" s="474"/>
      <c r="I76" s="474"/>
      <c r="J76" s="474"/>
      <c r="K76" s="474"/>
    </row>
    <row r="77" spans="1:11">
      <c r="A77" s="474"/>
      <c r="B77" s="474"/>
      <c r="C77" s="474"/>
      <c r="D77" s="474"/>
      <c r="E77" s="474"/>
      <c r="F77" s="712"/>
      <c r="G77" s="474"/>
      <c r="H77" s="474"/>
      <c r="I77" s="474"/>
      <c r="J77" s="474"/>
      <c r="K77" s="474"/>
    </row>
    <row r="78" spans="1:11" ht="12.75" customHeight="1">
      <c r="A78" s="474"/>
      <c r="B78" s="474"/>
      <c r="C78" s="474"/>
      <c r="D78" s="474"/>
      <c r="E78" s="474"/>
      <c r="F78" s="712"/>
      <c r="G78" s="474"/>
      <c r="H78" s="474"/>
      <c r="I78" s="474"/>
      <c r="J78" s="474"/>
      <c r="K78" s="474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B1:E1"/>
    <mergeCell ref="D18:E18"/>
    <mergeCell ref="D2:F3"/>
    <mergeCell ref="D4:F4"/>
    <mergeCell ref="F5:F8"/>
    <mergeCell ref="D19:F19"/>
    <mergeCell ref="D20:F20"/>
    <mergeCell ref="D21:F21"/>
    <mergeCell ref="D10:F11"/>
    <mergeCell ref="F14:F17"/>
    <mergeCell ref="F12:F13"/>
  </mergeCells>
  <conditionalFormatting sqref="C9">
    <cfRule type="cellIs" dxfId="345" priority="30" operator="greaterThan">
      <formula>0</formula>
    </cfRule>
  </conditionalFormatting>
  <conditionalFormatting sqref="C9">
    <cfRule type="cellIs" dxfId="344" priority="31" operator="greaterThan">
      <formula>0</formula>
    </cfRule>
  </conditionalFormatting>
  <conditionalFormatting sqref="I18:I21">
    <cfRule type="cellIs" dxfId="343" priority="22" operator="equal">
      <formula>"ДА"</formula>
    </cfRule>
    <cfRule type="cellIs" dxfId="342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341" priority="33" operator="greaterThan">
      <formula>0</formula>
    </cfRule>
  </conditionalFormatting>
  <conditionalFormatting sqref="C62:E63">
    <cfRule type="cellIs" dxfId="340" priority="16" operator="greaterThan">
      <formula>0</formula>
    </cfRule>
  </conditionalFormatting>
  <conditionalFormatting sqref="C61:E61">
    <cfRule type="cellIs" dxfId="339" priority="17" operator="greaterThan">
      <formula>0</formula>
    </cfRule>
  </conditionalFormatting>
  <conditionalFormatting sqref="J3:K17">
    <cfRule type="cellIs" dxfId="338" priority="8" operator="greaterThan">
      <formula>0</formula>
    </cfRule>
    <cfRule type="cellIs" dxfId="337" priority="11" operator="greaterThan">
      <formula>0</formula>
    </cfRule>
  </conditionalFormatting>
  <conditionalFormatting sqref="C64:E64">
    <cfRule type="cellIs" dxfId="336" priority="15" operator="greaterThan">
      <formula>0</formula>
    </cfRule>
  </conditionalFormatting>
  <conditionalFormatting sqref="I3:I17">
    <cfRule type="cellIs" dxfId="335" priority="12" operator="equal">
      <formula>"НЕТ"</formula>
    </cfRule>
    <cfRule type="cellIs" dxfId="334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333" priority="10" operator="greaterThan">
      <formula>0</formula>
    </cfRule>
  </conditionalFormatting>
  <conditionalFormatting sqref="C24:E46 C69:E69 C49:E64">
    <cfRule type="cellIs" dxfId="332" priority="5" operator="greaterThan">
      <formula>0</formula>
    </cfRule>
    <cfRule type="cellIs" dxfId="331" priority="6" operator="greaterThan">
      <formula>0</formula>
    </cfRule>
    <cfRule type="cellIs" dxfId="330" priority="9" operator="greaterThan">
      <formula>0</formula>
    </cfRule>
  </conditionalFormatting>
  <conditionalFormatting sqref="E70">
    <cfRule type="cellIs" dxfId="329" priority="7" operator="greaterThan">
      <formula>0</formula>
    </cfRule>
  </conditionalFormatting>
  <conditionalFormatting sqref="C65:E65">
    <cfRule type="cellIs" dxfId="328" priority="4" operator="greaterThan">
      <formula>0</formula>
    </cfRule>
  </conditionalFormatting>
  <conditionalFormatting sqref="C47:E48">
    <cfRule type="cellIs" dxfId="327" priority="3" operator="greaterThan">
      <formula>0</formula>
    </cfRule>
  </conditionalFormatting>
  <conditionalFormatting sqref="C19:C21">
    <cfRule type="cellIs" dxfId="326" priority="2" operator="greaterThan">
      <formula>0</formula>
    </cfRule>
  </conditionalFormatting>
  <conditionalFormatting sqref="C66:E68">
    <cfRule type="cellIs" dxfId="32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B68" sqref="B68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74"/>
      <c r="B1" s="1171"/>
      <c r="C1" s="1172"/>
      <c r="D1" s="1172"/>
      <c r="E1" s="1172"/>
      <c r="F1" s="474"/>
      <c r="G1" s="474"/>
      <c r="H1" s="474"/>
      <c r="I1" s="474"/>
      <c r="J1" s="474"/>
      <c r="K1" s="474"/>
      <c r="L1" s="474"/>
    </row>
    <row r="2" spans="1:12" ht="12.75" customHeight="1" thickBot="1">
      <c r="A2" s="474"/>
      <c r="B2" s="476" t="s">
        <v>673</v>
      </c>
      <c r="C2" s="527">
        <v>0</v>
      </c>
      <c r="D2" s="1116" t="s">
        <v>602</v>
      </c>
      <c r="E2" s="1117"/>
      <c r="F2" s="1118"/>
      <c r="G2" s="508"/>
      <c r="H2" s="478" t="s">
        <v>492</v>
      </c>
      <c r="I2" s="479" t="s">
        <v>611</v>
      </c>
      <c r="J2" s="545" t="s">
        <v>4</v>
      </c>
      <c r="K2" s="546" t="s">
        <v>8</v>
      </c>
      <c r="L2" s="474"/>
    </row>
    <row r="3" spans="1:12" ht="12.75" thickBot="1">
      <c r="A3" s="474"/>
      <c r="B3" s="481" t="s">
        <v>674</v>
      </c>
      <c r="C3" s="528">
        <v>0</v>
      </c>
      <c r="D3" s="1119"/>
      <c r="E3" s="1120"/>
      <c r="F3" s="1121"/>
      <c r="G3" s="508"/>
      <c r="H3" s="482" t="s">
        <v>379</v>
      </c>
      <c r="I3" s="483" t="str">
        <f>IF(AND($C$6=1,$C$5+$C$7+$C$8=0,$C$9=2),"ДА","НЕТ")</f>
        <v>НЕТ</v>
      </c>
      <c r="J3" s="387"/>
      <c r="K3" s="388">
        <f>IF(I3="ДА",($C$14+$C$15)*J3,0)</f>
        <v>0</v>
      </c>
      <c r="L3" s="474"/>
    </row>
    <row r="4" spans="1:12" ht="12.75" thickBot="1">
      <c r="A4" s="474"/>
      <c r="B4" s="498" t="s">
        <v>127</v>
      </c>
      <c r="C4" s="635">
        <v>0</v>
      </c>
      <c r="D4" s="1168" t="s">
        <v>128</v>
      </c>
      <c r="E4" s="1169"/>
      <c r="F4" s="1170"/>
      <c r="G4" s="508"/>
      <c r="H4" s="485" t="s">
        <v>380</v>
      </c>
      <c r="I4" s="483" t="str">
        <f>IF(AND($C$6=1,$C$5+$C$7+$C$8=0,$C$9=2),"ДА","НЕТ")</f>
        <v>НЕТ</v>
      </c>
      <c r="J4" s="464"/>
      <c r="K4" s="388">
        <f t="shared" ref="K4:K17" si="0">IF(I4="ДА",($C$14+$C$15)*J4,0)</f>
        <v>0</v>
      </c>
      <c r="L4" s="474"/>
    </row>
    <row r="5" spans="1:12" ht="11.25" customHeight="1">
      <c r="A5" s="474"/>
      <c r="B5" s="476" t="s">
        <v>499</v>
      </c>
      <c r="C5" s="533">
        <v>0</v>
      </c>
      <c r="D5" s="489" t="s">
        <v>294</v>
      </c>
      <c r="E5" s="489" t="s">
        <v>256</v>
      </c>
      <c r="F5" s="1125" t="s">
        <v>604</v>
      </c>
      <c r="G5" s="508"/>
      <c r="H5" s="485" t="s">
        <v>381</v>
      </c>
      <c r="I5" s="483" t="str">
        <f>IF(AND($C$6=1,$C$5+$C$7+$C$8=0,$C$9=2),"ДА","НЕТ")</f>
        <v>НЕТ</v>
      </c>
      <c r="J5" s="464"/>
      <c r="K5" s="388">
        <f t="shared" si="0"/>
        <v>0</v>
      </c>
      <c r="L5" s="474"/>
    </row>
    <row r="6" spans="1:12" ht="12">
      <c r="A6" s="474"/>
      <c r="B6" s="486" t="s">
        <v>497</v>
      </c>
      <c r="C6" s="530">
        <v>0</v>
      </c>
      <c r="D6" s="493" t="s">
        <v>294</v>
      </c>
      <c r="E6" s="493" t="s">
        <v>256</v>
      </c>
      <c r="F6" s="1125"/>
      <c r="G6" s="508"/>
      <c r="H6" s="487" t="s">
        <v>383</v>
      </c>
      <c r="I6" s="483" t="str">
        <f>IF(AND($C$6=1,$C$5+$C$7+$C$8=0,$C$9=3),"ДА","НЕТ")</f>
        <v>НЕТ</v>
      </c>
      <c r="J6" s="391"/>
      <c r="K6" s="388">
        <f t="shared" si="0"/>
        <v>0</v>
      </c>
      <c r="L6" s="474"/>
    </row>
    <row r="7" spans="1:12" ht="12">
      <c r="A7" s="474"/>
      <c r="B7" s="486" t="s">
        <v>500</v>
      </c>
      <c r="C7" s="530">
        <v>0</v>
      </c>
      <c r="D7" s="493" t="s">
        <v>294</v>
      </c>
      <c r="E7" s="493" t="s">
        <v>256</v>
      </c>
      <c r="F7" s="1125"/>
      <c r="G7" s="508"/>
      <c r="H7" s="485" t="s">
        <v>496</v>
      </c>
      <c r="I7" s="483" t="str">
        <f>IF(AND($C$8=1,$C$5+$C$6+$C$7=0,$C$9=1),"ДА","НЕТ")</f>
        <v>НЕТ</v>
      </c>
      <c r="J7" s="464"/>
      <c r="K7" s="388">
        <f t="shared" si="0"/>
        <v>0</v>
      </c>
      <c r="L7" s="474"/>
    </row>
    <row r="8" spans="1:12" ht="12.75" thickBot="1">
      <c r="A8" s="474"/>
      <c r="B8" s="583" t="s">
        <v>498</v>
      </c>
      <c r="C8" s="582">
        <v>0</v>
      </c>
      <c r="D8" s="695" t="s">
        <v>294</v>
      </c>
      <c r="E8" s="585" t="s">
        <v>256</v>
      </c>
      <c r="F8" s="1126"/>
      <c r="G8" s="508"/>
      <c r="H8" s="487" t="s">
        <v>493</v>
      </c>
      <c r="I8" s="483" t="str">
        <f>IF(AND($C$8=1,$C$5+$C$6+$C$7=0,$C$9=3),"ДА","НЕТ")</f>
        <v>НЕТ</v>
      </c>
      <c r="J8" s="391"/>
      <c r="K8" s="388">
        <f t="shared" si="0"/>
        <v>0</v>
      </c>
      <c r="L8" s="474"/>
    </row>
    <row r="9" spans="1:12" ht="12.75" thickBot="1">
      <c r="A9" s="474"/>
      <c r="B9" s="498" t="s">
        <v>596</v>
      </c>
      <c r="C9" s="617">
        <v>0</v>
      </c>
      <c r="D9" s="502" t="s">
        <v>626</v>
      </c>
      <c r="E9" s="503" t="s">
        <v>627</v>
      </c>
      <c r="F9" s="505" t="s">
        <v>628</v>
      </c>
      <c r="G9" s="508"/>
      <c r="H9" s="487" t="s">
        <v>494</v>
      </c>
      <c r="I9" s="483" t="str">
        <f>IF(AND($C$8=1,$C$5+$C$6+$C$7=0,$C$9=2),"ДА","НЕТ")</f>
        <v>НЕТ</v>
      </c>
      <c r="J9" s="391"/>
      <c r="K9" s="388">
        <f t="shared" si="0"/>
        <v>0</v>
      </c>
      <c r="L9" s="474"/>
    </row>
    <row r="10" spans="1:12" ht="12" customHeight="1">
      <c r="A10" s="474"/>
      <c r="B10" s="476" t="s">
        <v>368</v>
      </c>
      <c r="C10" s="533">
        <v>0</v>
      </c>
      <c r="D10" s="489" t="s">
        <v>294</v>
      </c>
      <c r="E10" s="694" t="s">
        <v>256</v>
      </c>
      <c r="F10" s="1124" t="s">
        <v>604</v>
      </c>
      <c r="G10" s="508"/>
      <c r="H10" s="487" t="s">
        <v>495</v>
      </c>
      <c r="I10" s="483" t="str">
        <f>IF(AND($C$8=1,$C$5+$C$6+$C$7=0,$C$9=2),"ДА","НЕТ")</f>
        <v>НЕТ</v>
      </c>
      <c r="J10" s="391"/>
      <c r="K10" s="388">
        <f t="shared" si="0"/>
        <v>0</v>
      </c>
      <c r="L10" s="474"/>
    </row>
    <row r="11" spans="1:12" ht="12">
      <c r="A11" s="474"/>
      <c r="B11" s="486" t="s">
        <v>369</v>
      </c>
      <c r="C11" s="530">
        <v>0</v>
      </c>
      <c r="D11" s="493" t="s">
        <v>294</v>
      </c>
      <c r="E11" s="713" t="s">
        <v>256</v>
      </c>
      <c r="F11" s="1125"/>
      <c r="G11" s="508"/>
      <c r="H11" s="487" t="s">
        <v>501</v>
      </c>
      <c r="I11" s="483" t="str">
        <f>IF(AND($C$8=1,$C$5+$C$6+$C$7=0,$C$9=2),"ДА","НЕТ")</f>
        <v>НЕТ</v>
      </c>
      <c r="J11" s="391"/>
      <c r="K11" s="388">
        <f t="shared" si="0"/>
        <v>0</v>
      </c>
      <c r="L11" s="474"/>
    </row>
    <row r="12" spans="1:12" ht="12">
      <c r="A12" s="474"/>
      <c r="B12" s="486" t="s">
        <v>474</v>
      </c>
      <c r="C12" s="530">
        <v>0</v>
      </c>
      <c r="D12" s="493" t="s">
        <v>294</v>
      </c>
      <c r="E12" s="713" t="s">
        <v>256</v>
      </c>
      <c r="F12" s="1125"/>
      <c r="G12" s="508"/>
      <c r="H12" s="482" t="s">
        <v>388</v>
      </c>
      <c r="I12" s="483" t="str">
        <f>IF(AND($C$5=1,$C$8+$C$7+$C$6=0,$C$9=1),"ДА","НЕТ")</f>
        <v>НЕТ</v>
      </c>
      <c r="J12" s="394"/>
      <c r="K12" s="388">
        <f t="shared" si="0"/>
        <v>0</v>
      </c>
      <c r="L12" s="474"/>
    </row>
    <row r="13" spans="1:12" ht="12.75" thickBot="1">
      <c r="A13" s="474"/>
      <c r="B13" s="481" t="s">
        <v>473</v>
      </c>
      <c r="C13" s="532">
        <v>0</v>
      </c>
      <c r="D13" s="496" t="s">
        <v>294</v>
      </c>
      <c r="E13" s="500" t="s">
        <v>256</v>
      </c>
      <c r="F13" s="1126"/>
      <c r="G13" s="508"/>
      <c r="H13" s="482" t="s">
        <v>389</v>
      </c>
      <c r="I13" s="483" t="str">
        <f>IF(AND($C$5=1,$C$8+$C$7+$C$6=0,$C$9=3),"ДА","НЕТ")</f>
        <v>НЕТ</v>
      </c>
      <c r="J13" s="394"/>
      <c r="K13" s="388">
        <f t="shared" si="0"/>
        <v>0</v>
      </c>
      <c r="L13" s="474"/>
    </row>
    <row r="14" spans="1:12" ht="11.25" customHeight="1">
      <c r="A14" s="474"/>
      <c r="B14" s="488" t="s">
        <v>677</v>
      </c>
      <c r="C14" s="636">
        <v>0</v>
      </c>
      <c r="D14" s="1158" t="s">
        <v>604</v>
      </c>
      <c r="E14" s="1159"/>
      <c r="F14" s="1160"/>
      <c r="G14" s="508"/>
      <c r="H14" s="482" t="s">
        <v>390</v>
      </c>
      <c r="I14" s="483" t="str">
        <f>IF(AND($C$7=1,$C$6+$C$8+$C$5=0,$C$9=1),"ДА","НЕТ")</f>
        <v>НЕТ</v>
      </c>
      <c r="J14" s="394"/>
      <c r="K14" s="388">
        <f t="shared" si="0"/>
        <v>0</v>
      </c>
      <c r="L14" s="474"/>
    </row>
    <row r="15" spans="1:12" ht="12.75" thickBot="1">
      <c r="A15" s="474"/>
      <c r="B15" s="583" t="s">
        <v>678</v>
      </c>
      <c r="C15" s="637">
        <v>0</v>
      </c>
      <c r="D15" s="1161"/>
      <c r="E15" s="1162"/>
      <c r="F15" s="1163"/>
      <c r="G15" s="508"/>
      <c r="H15" s="485" t="s">
        <v>391</v>
      </c>
      <c r="I15" s="483" t="str">
        <f>IF(AND($C$7=1,$C$6+$C$8+$C$5=0,$C$9=1),"ДА","НЕТ")</f>
        <v>НЕТ</v>
      </c>
      <c r="J15" s="394"/>
      <c r="K15" s="388">
        <f t="shared" si="0"/>
        <v>0</v>
      </c>
      <c r="L15" s="474"/>
    </row>
    <row r="16" spans="1:12" ht="12.75" thickBot="1">
      <c r="A16" s="474"/>
      <c r="B16" s="498" t="s">
        <v>411</v>
      </c>
      <c r="C16" s="534">
        <v>0</v>
      </c>
      <c r="D16" s="502" t="s">
        <v>551</v>
      </c>
      <c r="E16" s="714" t="s">
        <v>552</v>
      </c>
      <c r="F16" s="715"/>
      <c r="G16" s="508"/>
      <c r="H16" s="482" t="s">
        <v>395</v>
      </c>
      <c r="I16" s="483" t="str">
        <f>IF(AND($C$7=1,$C$6+$C$8+$C$5=0,$C$9=2),"ДА","НЕТ")</f>
        <v>НЕТ</v>
      </c>
      <c r="J16" s="394"/>
      <c r="K16" s="388">
        <f t="shared" si="0"/>
        <v>0</v>
      </c>
      <c r="L16" s="474"/>
    </row>
    <row r="17" spans="1:12" ht="12.75" thickBot="1">
      <c r="A17" s="474"/>
      <c r="B17" s="476" t="s">
        <v>147</v>
      </c>
      <c r="C17" s="533">
        <v>0</v>
      </c>
      <c r="D17" s="1127" t="s">
        <v>693</v>
      </c>
      <c r="E17" s="1128"/>
      <c r="F17" s="1129"/>
      <c r="G17" s="508"/>
      <c r="H17" s="506" t="s">
        <v>396</v>
      </c>
      <c r="I17" s="507" t="str">
        <f>IF(AND($C$7=1,$C$6+$C$8+$C$5=0,$C$9=2),"ДА","НЕТ")</f>
        <v>НЕТ</v>
      </c>
      <c r="J17" s="401"/>
      <c r="K17" s="544">
        <f t="shared" si="0"/>
        <v>0</v>
      </c>
      <c r="L17" s="474"/>
    </row>
    <row r="18" spans="1:12" s="88" customFormat="1" ht="12">
      <c r="A18" s="709"/>
      <c r="B18" s="486" t="s">
        <v>146</v>
      </c>
      <c r="C18" s="530">
        <v>0</v>
      </c>
      <c r="D18" s="1130" t="s">
        <v>694</v>
      </c>
      <c r="E18" s="1131"/>
      <c r="F18" s="1132"/>
      <c r="G18" s="512"/>
      <c r="H18" s="633"/>
      <c r="I18" s="634"/>
      <c r="J18" s="405"/>
      <c r="K18" s="406"/>
      <c r="L18" s="709"/>
    </row>
    <row r="19" spans="1:12" ht="12.75" thickBot="1">
      <c r="A19" s="474"/>
      <c r="B19" s="481" t="s">
        <v>143</v>
      </c>
      <c r="C19" s="532">
        <v>0</v>
      </c>
      <c r="D19" s="1133" t="s">
        <v>695</v>
      </c>
      <c r="E19" s="1134"/>
      <c r="F19" s="1135"/>
      <c r="G19" s="508"/>
      <c r="H19" s="633"/>
      <c r="I19" s="634"/>
      <c r="J19" s="405"/>
      <c r="K19" s="406"/>
      <c r="L19" s="474"/>
    </row>
    <row r="20" spans="1:12" ht="12.75" thickBot="1">
      <c r="A20" s="474"/>
      <c r="B20" s="787"/>
      <c r="C20" s="787"/>
      <c r="D20" s="787"/>
      <c r="E20" s="508"/>
      <c r="F20" s="508"/>
      <c r="G20" s="508"/>
      <c r="H20" s="633"/>
      <c r="I20" s="634"/>
      <c r="J20" s="405"/>
      <c r="K20" s="406"/>
      <c r="L20" s="474"/>
    </row>
    <row r="21" spans="1:12" ht="12.75">
      <c r="A21" s="474"/>
      <c r="B21" s="513" t="s">
        <v>5</v>
      </c>
      <c r="C21" s="514" t="s">
        <v>0</v>
      </c>
      <c r="D21" s="515" t="s">
        <v>4</v>
      </c>
      <c r="E21" s="516" t="s">
        <v>8</v>
      </c>
      <c r="F21" s="508"/>
      <c r="G21" s="508"/>
      <c r="H21" s="508"/>
      <c r="I21" s="508"/>
      <c r="J21" s="508"/>
      <c r="K21" s="508"/>
      <c r="L21" s="474"/>
    </row>
    <row r="22" spans="1:12">
      <c r="A22" s="474"/>
      <c r="B22" s="518" t="s">
        <v>475</v>
      </c>
      <c r="C22" s="411">
        <f>C13*C4*(C14+C15)</f>
        <v>0</v>
      </c>
      <c r="D22" s="412"/>
      <c r="E22" s="413">
        <f>C22*D22</f>
        <v>0</v>
      </c>
      <c r="F22" s="508"/>
      <c r="G22" s="508"/>
      <c r="H22" s="508"/>
      <c r="I22" s="508"/>
      <c r="J22" s="508"/>
      <c r="K22" s="508"/>
      <c r="L22" s="474"/>
    </row>
    <row r="23" spans="1:12">
      <c r="A23" s="474"/>
      <c r="B23" s="518" t="s">
        <v>548</v>
      </c>
      <c r="C23" s="411">
        <f>C12*C4*(C14+C15)</f>
        <v>0</v>
      </c>
      <c r="D23" s="422"/>
      <c r="E23" s="413">
        <f t="shared" ref="E23:E65" si="1">C23*D23</f>
        <v>0</v>
      </c>
      <c r="F23" s="508"/>
      <c r="G23" s="508"/>
      <c r="H23" s="508"/>
      <c r="I23" s="508"/>
      <c r="J23" s="508"/>
      <c r="K23" s="508"/>
      <c r="L23" s="474"/>
    </row>
    <row r="24" spans="1:12">
      <c r="A24" s="474"/>
      <c r="B24" s="518" t="s">
        <v>418</v>
      </c>
      <c r="C24" s="411">
        <f>(C10+C11)*C4*(C14+C15)*2</f>
        <v>0</v>
      </c>
      <c r="D24" s="422"/>
      <c r="E24" s="413">
        <f t="shared" si="1"/>
        <v>0</v>
      </c>
      <c r="F24" s="508"/>
      <c r="G24" s="508"/>
      <c r="H24" s="508"/>
      <c r="I24" s="508"/>
      <c r="J24" s="508"/>
      <c r="K24" s="508"/>
      <c r="L24" s="474"/>
    </row>
    <row r="25" spans="1:12">
      <c r="A25" s="474"/>
      <c r="B25" s="520" t="s">
        <v>454</v>
      </c>
      <c r="C25" s="416">
        <f>(C14+C15)*2</f>
        <v>0</v>
      </c>
      <c r="D25" s="417"/>
      <c r="E25" s="413">
        <f t="shared" si="1"/>
        <v>0</v>
      </c>
      <c r="F25" s="508"/>
      <c r="G25" s="508"/>
      <c r="H25" s="508"/>
      <c r="I25" s="508"/>
      <c r="J25" s="508"/>
      <c r="K25" s="508"/>
      <c r="L25" s="474"/>
    </row>
    <row r="26" spans="1:12">
      <c r="A26" s="474"/>
      <c r="B26" s="520" t="s">
        <v>510</v>
      </c>
      <c r="C26" s="416">
        <f>(C4-1)*(C14+C15)</f>
        <v>0</v>
      </c>
      <c r="D26" s="417"/>
      <c r="E26" s="413">
        <f t="shared" si="1"/>
        <v>0</v>
      </c>
      <c r="F26" s="508"/>
      <c r="G26" s="508"/>
      <c r="H26" s="508"/>
      <c r="I26" s="508"/>
      <c r="J26" s="508"/>
      <c r="K26" s="508"/>
      <c r="L26" s="474"/>
    </row>
    <row r="27" spans="1:12">
      <c r="A27" s="474"/>
      <c r="B27" s="518" t="s">
        <v>481</v>
      </c>
      <c r="C27" s="411">
        <f>C2*C14</f>
        <v>0</v>
      </c>
      <c r="D27" s="412"/>
      <c r="E27" s="413">
        <f t="shared" si="1"/>
        <v>0</v>
      </c>
      <c r="F27" s="508"/>
      <c r="G27" s="508"/>
      <c r="H27" s="508"/>
      <c r="I27" s="508"/>
      <c r="J27" s="508"/>
      <c r="K27" s="508"/>
      <c r="L27" s="474"/>
    </row>
    <row r="28" spans="1:12">
      <c r="A28" s="474"/>
      <c r="B28" s="518" t="s">
        <v>481</v>
      </c>
      <c r="C28" s="411">
        <f>C2*C14*C12</f>
        <v>0</v>
      </c>
      <c r="D28" s="412"/>
      <c r="E28" s="413">
        <f>C28*D28</f>
        <v>0</v>
      </c>
      <c r="F28" s="508"/>
      <c r="G28" s="508"/>
      <c r="H28" s="508"/>
      <c r="I28" s="508"/>
      <c r="J28" s="508"/>
      <c r="K28" s="508"/>
      <c r="L28" s="474"/>
    </row>
    <row r="29" spans="1:12">
      <c r="A29" s="474"/>
      <c r="B29" s="518" t="s">
        <v>370</v>
      </c>
      <c r="C29" s="411">
        <f>C2*C11*2*(C14+C15)</f>
        <v>0</v>
      </c>
      <c r="D29" s="465"/>
      <c r="E29" s="638">
        <f>C29*D29</f>
        <v>0</v>
      </c>
      <c r="F29" s="508"/>
      <c r="G29" s="508"/>
      <c r="H29" s="508"/>
      <c r="I29" s="508"/>
      <c r="J29" s="508"/>
      <c r="K29" s="508"/>
      <c r="L29" s="474"/>
    </row>
    <row r="30" spans="1:12">
      <c r="A30" s="474"/>
      <c r="B30" s="520" t="s">
        <v>118</v>
      </c>
      <c r="C30" s="416">
        <f>C2*(C14+C15)*C10</f>
        <v>0</v>
      </c>
      <c r="D30" s="417"/>
      <c r="E30" s="413">
        <f t="shared" si="1"/>
        <v>0</v>
      </c>
      <c r="F30" s="508"/>
      <c r="G30" s="508"/>
      <c r="H30" s="508"/>
      <c r="I30" s="508"/>
      <c r="J30" s="508"/>
      <c r="K30" s="508"/>
      <c r="L30" s="474"/>
    </row>
    <row r="31" spans="1:12">
      <c r="A31" s="474"/>
      <c r="B31" s="520" t="s">
        <v>479</v>
      </c>
      <c r="C31" s="416">
        <f>C2*(C14+C15)*C13</f>
        <v>0</v>
      </c>
      <c r="D31" s="417"/>
      <c r="E31" s="413">
        <f t="shared" si="1"/>
        <v>0</v>
      </c>
      <c r="F31" s="508"/>
      <c r="G31" s="508"/>
      <c r="H31" s="508"/>
      <c r="I31" s="508"/>
      <c r="J31" s="508"/>
      <c r="K31" s="508"/>
      <c r="L31" s="474"/>
    </row>
    <row r="32" spans="1:12">
      <c r="A32" s="474"/>
      <c r="B32" s="520" t="s">
        <v>480</v>
      </c>
      <c r="C32" s="416">
        <f>C2*C12*(C14+C15)</f>
        <v>0</v>
      </c>
      <c r="D32" s="422"/>
      <c r="E32" s="413">
        <f t="shared" si="1"/>
        <v>0</v>
      </c>
      <c r="F32" s="508"/>
      <c r="G32" s="508"/>
      <c r="H32" s="508"/>
      <c r="I32" s="508"/>
      <c r="J32" s="508"/>
      <c r="K32" s="508"/>
      <c r="L32" s="474"/>
    </row>
    <row r="33" spans="1:12">
      <c r="A33" s="474"/>
      <c r="B33" s="520" t="s">
        <v>371</v>
      </c>
      <c r="C33" s="416">
        <f>C2*C10*(C14+C15)</f>
        <v>0</v>
      </c>
      <c r="D33" s="422"/>
      <c r="E33" s="413">
        <f t="shared" si="1"/>
        <v>0</v>
      </c>
      <c r="F33" s="508"/>
      <c r="G33" s="508"/>
      <c r="H33" s="508"/>
      <c r="I33" s="508"/>
      <c r="J33" s="508"/>
      <c r="K33" s="508"/>
      <c r="L33" s="474"/>
    </row>
    <row r="34" spans="1:12">
      <c r="A34" s="474"/>
      <c r="B34" s="520" t="s">
        <v>372</v>
      </c>
      <c r="C34" s="416">
        <f>C2*C11*(C14+C15)</f>
        <v>0</v>
      </c>
      <c r="D34" s="422"/>
      <c r="E34" s="413">
        <f t="shared" si="1"/>
        <v>0</v>
      </c>
      <c r="F34" s="508"/>
      <c r="G34" s="508"/>
      <c r="H34" s="508"/>
      <c r="I34" s="508"/>
      <c r="J34" s="508"/>
      <c r="K34" s="508"/>
      <c r="L34" s="474"/>
    </row>
    <row r="35" spans="1:12">
      <c r="A35" s="474"/>
      <c r="B35" s="518" t="s">
        <v>458</v>
      </c>
      <c r="C35" s="411">
        <f>C2*C14</f>
        <v>0</v>
      </c>
      <c r="D35" s="412"/>
      <c r="E35" s="413">
        <f t="shared" si="1"/>
        <v>0</v>
      </c>
      <c r="F35" s="508"/>
      <c r="G35" s="508"/>
      <c r="H35" s="508"/>
      <c r="I35" s="508"/>
      <c r="J35" s="508"/>
      <c r="K35" s="508"/>
      <c r="L35" s="474"/>
    </row>
    <row r="36" spans="1:12">
      <c r="A36" s="474"/>
      <c r="B36" s="518" t="s">
        <v>457</v>
      </c>
      <c r="C36" s="411">
        <f>C2*C15</f>
        <v>0</v>
      </c>
      <c r="D36" s="465"/>
      <c r="E36" s="638">
        <f t="shared" si="1"/>
        <v>0</v>
      </c>
      <c r="F36" s="508"/>
      <c r="G36" s="508"/>
      <c r="H36" s="508"/>
      <c r="I36" s="508"/>
      <c r="J36" s="508"/>
      <c r="K36" s="508"/>
      <c r="L36" s="474"/>
    </row>
    <row r="37" spans="1:12">
      <c r="A37" s="474"/>
      <c r="B37" s="704" t="s">
        <v>491</v>
      </c>
      <c r="C37" s="468">
        <f>C2*(C14+C15)</f>
        <v>0</v>
      </c>
      <c r="D37" s="623"/>
      <c r="E37" s="413">
        <f t="shared" si="1"/>
        <v>0</v>
      </c>
      <c r="F37" s="508"/>
      <c r="G37" s="508"/>
      <c r="H37" s="508"/>
      <c r="I37" s="508"/>
      <c r="J37" s="508"/>
      <c r="K37" s="508"/>
      <c r="L37" s="474"/>
    </row>
    <row r="38" spans="1:12">
      <c r="A38" s="474"/>
      <c r="B38" s="520" t="s">
        <v>375</v>
      </c>
      <c r="C38" s="416">
        <f>(C25+C26)*2</f>
        <v>0</v>
      </c>
      <c r="D38" s="622"/>
      <c r="E38" s="638">
        <f t="shared" si="1"/>
        <v>0</v>
      </c>
      <c r="F38" s="508"/>
      <c r="G38" s="508"/>
      <c r="H38" s="508"/>
      <c r="I38" s="508"/>
      <c r="J38" s="508"/>
      <c r="K38" s="508"/>
      <c r="L38" s="474"/>
    </row>
    <row r="39" spans="1:12">
      <c r="A39" s="474"/>
      <c r="B39" s="520" t="s">
        <v>374</v>
      </c>
      <c r="C39" s="416">
        <f>C14</f>
        <v>0</v>
      </c>
      <c r="D39" s="417"/>
      <c r="E39" s="413">
        <f t="shared" si="1"/>
        <v>0</v>
      </c>
      <c r="F39" s="508"/>
      <c r="G39" s="508"/>
      <c r="H39" s="508"/>
      <c r="I39" s="508"/>
      <c r="J39" s="508"/>
      <c r="K39" s="508"/>
      <c r="L39" s="474"/>
    </row>
    <row r="40" spans="1:12">
      <c r="A40" s="474"/>
      <c r="B40" s="520" t="s">
        <v>732</v>
      </c>
      <c r="C40" s="416">
        <f>C15*((C4*2)-2)</f>
        <v>0</v>
      </c>
      <c r="D40" s="417"/>
      <c r="E40" s="413">
        <f t="shared" ref="E40" si="2">C40*D40</f>
        <v>0</v>
      </c>
      <c r="F40" s="508"/>
      <c r="G40" s="508"/>
      <c r="H40" s="508"/>
      <c r="I40" s="508"/>
      <c r="J40" s="508"/>
      <c r="K40" s="508"/>
      <c r="L40" s="474"/>
    </row>
    <row r="41" spans="1:12">
      <c r="A41" s="474"/>
      <c r="B41" s="520" t="s">
        <v>477</v>
      </c>
      <c r="C41" s="416">
        <f>C15</f>
        <v>0</v>
      </c>
      <c r="D41" s="422"/>
      <c r="E41" s="638">
        <f t="shared" si="1"/>
        <v>0</v>
      </c>
      <c r="F41" s="508"/>
      <c r="G41" s="508"/>
      <c r="H41" s="508"/>
      <c r="I41" s="508"/>
      <c r="J41" s="508"/>
      <c r="K41" s="508"/>
      <c r="L41" s="474"/>
    </row>
    <row r="42" spans="1:12">
      <c r="A42" s="474"/>
      <c r="B42" s="520" t="s">
        <v>511</v>
      </c>
      <c r="C42" s="416">
        <f>(C4-1)*(C14+C15)</f>
        <v>0</v>
      </c>
      <c r="D42" s="417"/>
      <c r="E42" s="413">
        <f t="shared" si="1"/>
        <v>0</v>
      </c>
      <c r="F42" s="508"/>
      <c r="G42" s="508"/>
      <c r="H42" s="508"/>
      <c r="I42" s="508"/>
      <c r="J42" s="508"/>
      <c r="K42" s="508"/>
      <c r="L42" s="474"/>
    </row>
    <row r="43" spans="1:12">
      <c r="A43" s="474"/>
      <c r="B43" s="520" t="s">
        <v>512</v>
      </c>
      <c r="C43" s="416">
        <f>(C4-1)*(C14+C15)</f>
        <v>0</v>
      </c>
      <c r="D43" s="417"/>
      <c r="E43" s="413">
        <f t="shared" si="1"/>
        <v>0</v>
      </c>
      <c r="F43" s="508"/>
      <c r="G43" s="508"/>
      <c r="H43" s="508"/>
      <c r="I43" s="508"/>
      <c r="J43" s="508"/>
      <c r="K43" s="508"/>
      <c r="L43" s="474"/>
    </row>
    <row r="44" spans="1:12">
      <c r="A44" s="474"/>
      <c r="B44" s="520" t="s">
        <v>836</v>
      </c>
      <c r="C44" s="416">
        <f>(C14+C15)</f>
        <v>0</v>
      </c>
      <c r="D44" s="417"/>
      <c r="E44" s="413">
        <f t="shared" si="1"/>
        <v>0</v>
      </c>
      <c r="F44" s="508"/>
      <c r="G44" s="508"/>
      <c r="H44" s="508"/>
      <c r="I44" s="508"/>
      <c r="J44" s="508"/>
      <c r="K44" s="508"/>
      <c r="L44" s="474"/>
    </row>
    <row r="45" spans="1:12">
      <c r="A45" s="474"/>
      <c r="B45" s="520" t="s">
        <v>415</v>
      </c>
      <c r="C45" s="416">
        <f>EVEN(ROUNDDOWN(IF(C16=1,(C2*(C15+C14)/0.5),0),0))</f>
        <v>0</v>
      </c>
      <c r="D45" s="417"/>
      <c r="E45" s="413">
        <f t="shared" si="1"/>
        <v>0</v>
      </c>
      <c r="F45" s="522"/>
      <c r="G45" s="508"/>
      <c r="H45" s="508"/>
      <c r="I45" s="508"/>
      <c r="J45" s="508"/>
      <c r="K45" s="508"/>
      <c r="L45" s="474"/>
    </row>
    <row r="46" spans="1:12">
      <c r="A46" s="474"/>
      <c r="B46" s="520" t="s">
        <v>486</v>
      </c>
      <c r="C46" s="416">
        <f>EVEN(ROUNDDOWN(IF(C16=0,(C2/0.5)*(C14+C15),0),0))</f>
        <v>0</v>
      </c>
      <c r="D46" s="417"/>
      <c r="E46" s="413">
        <f t="shared" si="1"/>
        <v>0</v>
      </c>
      <c r="F46" s="711"/>
      <c r="G46" s="508"/>
      <c r="H46" s="508"/>
      <c r="I46" s="508"/>
      <c r="J46" s="508"/>
      <c r="K46" s="508"/>
      <c r="L46" s="474"/>
    </row>
    <row r="47" spans="1:12">
      <c r="A47" s="474"/>
      <c r="B47" s="520" t="s">
        <v>463</v>
      </c>
      <c r="C47" s="416">
        <f>C2*(C14+C15)</f>
        <v>0</v>
      </c>
      <c r="D47" s="417"/>
      <c r="E47" s="413">
        <f t="shared" si="1"/>
        <v>0</v>
      </c>
      <c r="F47" s="716"/>
      <c r="G47" s="508"/>
      <c r="H47" s="508"/>
      <c r="I47" s="508"/>
      <c r="J47" s="508"/>
      <c r="K47" s="508"/>
      <c r="L47" s="474"/>
    </row>
    <row r="48" spans="1:12">
      <c r="A48" s="474"/>
      <c r="B48" s="520" t="s">
        <v>412</v>
      </c>
      <c r="C48" s="416">
        <f>C2*(C14+C15)</f>
        <v>0</v>
      </c>
      <c r="D48" s="417"/>
      <c r="E48" s="413">
        <f t="shared" si="1"/>
        <v>0</v>
      </c>
      <c r="F48" s="716"/>
      <c r="G48" s="508"/>
      <c r="H48" s="508"/>
      <c r="I48" s="508"/>
      <c r="J48" s="508"/>
      <c r="K48" s="508"/>
      <c r="L48" s="474"/>
    </row>
    <row r="49" spans="1:12">
      <c r="A49" s="474"/>
      <c r="B49" s="520" t="s">
        <v>413</v>
      </c>
      <c r="C49" s="416">
        <f>(C14+C15)</f>
        <v>0</v>
      </c>
      <c r="D49" s="417"/>
      <c r="E49" s="413">
        <f t="shared" si="1"/>
        <v>0</v>
      </c>
      <c r="F49" s="716"/>
      <c r="G49" s="508"/>
      <c r="H49" s="508"/>
      <c r="I49" s="508"/>
      <c r="J49" s="508"/>
      <c r="K49" s="508"/>
      <c r="L49" s="474"/>
    </row>
    <row r="50" spans="1:12">
      <c r="A50" s="474"/>
      <c r="B50" s="520" t="s">
        <v>414</v>
      </c>
      <c r="C50" s="416">
        <f>(C14+C15)</f>
        <v>0</v>
      </c>
      <c r="D50" s="417"/>
      <c r="E50" s="413">
        <f t="shared" si="1"/>
        <v>0</v>
      </c>
      <c r="F50" s="717"/>
      <c r="G50" s="508"/>
      <c r="H50" s="508"/>
      <c r="I50" s="508"/>
      <c r="J50" s="508"/>
      <c r="K50" s="508"/>
      <c r="L50" s="474"/>
    </row>
    <row r="51" spans="1:12">
      <c r="A51" s="474"/>
      <c r="B51" s="521" t="s">
        <v>513</v>
      </c>
      <c r="C51" s="423">
        <f>(C4-1)*(C14+C15)</f>
        <v>0</v>
      </c>
      <c r="D51" s="417"/>
      <c r="E51" s="413">
        <f t="shared" si="1"/>
        <v>0</v>
      </c>
      <c r="F51" s="717"/>
      <c r="G51" s="508"/>
      <c r="H51" s="508"/>
      <c r="I51" s="508"/>
      <c r="J51" s="508"/>
      <c r="K51" s="508"/>
      <c r="L51" s="474"/>
    </row>
    <row r="52" spans="1:12" ht="11.25" customHeight="1">
      <c r="A52" s="474"/>
      <c r="B52" s="521" t="s">
        <v>514</v>
      </c>
      <c r="C52" s="423">
        <f>(C4-1)*(C14+C15)</f>
        <v>0</v>
      </c>
      <c r="D52" s="417"/>
      <c r="E52" s="413">
        <f t="shared" si="1"/>
        <v>0</v>
      </c>
      <c r="F52" s="717"/>
      <c r="G52" s="508"/>
      <c r="H52" s="508"/>
      <c r="I52" s="508"/>
      <c r="J52" s="508"/>
      <c r="K52" s="508"/>
      <c r="L52" s="474"/>
    </row>
    <row r="53" spans="1:12">
      <c r="A53" s="474"/>
      <c r="B53" s="521" t="s">
        <v>461</v>
      </c>
      <c r="C53" s="423">
        <f>(C5+C6)*C14</f>
        <v>0</v>
      </c>
      <c r="D53" s="417"/>
      <c r="E53" s="413">
        <f t="shared" si="1"/>
        <v>0</v>
      </c>
      <c r="F53" s="718"/>
      <c r="G53" s="508"/>
      <c r="H53" s="508"/>
      <c r="I53" s="508"/>
      <c r="J53" s="508"/>
      <c r="K53" s="508"/>
      <c r="L53" s="474"/>
    </row>
    <row r="54" spans="1:12">
      <c r="A54" s="474"/>
      <c r="B54" s="521" t="s">
        <v>382</v>
      </c>
      <c r="C54" s="423">
        <f>C6*C14</f>
        <v>0</v>
      </c>
      <c r="D54" s="417"/>
      <c r="E54" s="413">
        <f t="shared" si="1"/>
        <v>0</v>
      </c>
      <c r="F54" s="719"/>
      <c r="G54" s="508"/>
      <c r="H54" s="508"/>
      <c r="I54" s="508"/>
      <c r="J54" s="508"/>
      <c r="K54" s="508"/>
      <c r="L54" s="474"/>
    </row>
    <row r="55" spans="1:12">
      <c r="A55" s="474"/>
      <c r="B55" s="521" t="s">
        <v>502</v>
      </c>
      <c r="C55" s="423">
        <f>C6*C14</f>
        <v>0</v>
      </c>
      <c r="D55" s="417"/>
      <c r="E55" s="413">
        <f t="shared" si="1"/>
        <v>0</v>
      </c>
      <c r="F55" s="719"/>
      <c r="G55" s="508"/>
      <c r="H55" s="508"/>
      <c r="I55" s="508"/>
      <c r="J55" s="508"/>
      <c r="K55" s="508"/>
      <c r="L55" s="474"/>
    </row>
    <row r="56" spans="1:12">
      <c r="A56" s="474"/>
      <c r="B56" s="521" t="s">
        <v>385</v>
      </c>
      <c r="C56" s="468">
        <f>C8*C15</f>
        <v>0</v>
      </c>
      <c r="D56" s="422"/>
      <c r="E56" s="469">
        <f t="shared" si="1"/>
        <v>0</v>
      </c>
      <c r="F56" s="719"/>
      <c r="G56" s="508"/>
      <c r="H56" s="508"/>
      <c r="I56" s="508"/>
      <c r="J56" s="508"/>
      <c r="K56" s="508"/>
      <c r="L56" s="474"/>
    </row>
    <row r="57" spans="1:12">
      <c r="A57" s="474"/>
      <c r="B57" s="521" t="s">
        <v>393</v>
      </c>
      <c r="C57" s="468">
        <f>C7*C15</f>
        <v>0</v>
      </c>
      <c r="D57" s="422"/>
      <c r="E57" s="469">
        <f t="shared" si="1"/>
        <v>0</v>
      </c>
      <c r="F57" s="719"/>
      <c r="G57" s="508"/>
      <c r="H57" s="508"/>
      <c r="I57" s="508"/>
      <c r="J57" s="508"/>
      <c r="K57" s="508"/>
      <c r="L57" s="474"/>
    </row>
    <row r="58" spans="1:12">
      <c r="A58" s="474"/>
      <c r="B58" s="521" t="s">
        <v>394</v>
      </c>
      <c r="C58" s="468">
        <f>C7*C15</f>
        <v>0</v>
      </c>
      <c r="D58" s="422"/>
      <c r="E58" s="469">
        <f t="shared" si="1"/>
        <v>0</v>
      </c>
      <c r="F58" s="719"/>
      <c r="G58" s="508"/>
      <c r="H58" s="508"/>
      <c r="I58" s="508"/>
      <c r="J58" s="508"/>
      <c r="K58" s="508"/>
      <c r="L58" s="474"/>
    </row>
    <row r="59" spans="1:12">
      <c r="A59" s="474"/>
      <c r="B59" s="521" t="s">
        <v>384</v>
      </c>
      <c r="C59" s="468">
        <f>C8*C15</f>
        <v>0</v>
      </c>
      <c r="D59" s="422"/>
      <c r="E59" s="469">
        <f t="shared" si="1"/>
        <v>0</v>
      </c>
      <c r="F59" s="719"/>
      <c r="G59" s="508"/>
      <c r="H59" s="508"/>
      <c r="I59" s="508"/>
      <c r="J59" s="508"/>
      <c r="K59" s="508"/>
      <c r="L59" s="474"/>
    </row>
    <row r="60" spans="1:12">
      <c r="A60" s="474"/>
      <c r="B60" s="520" t="s">
        <v>487</v>
      </c>
      <c r="C60" s="416">
        <f>C2*C15</f>
        <v>0</v>
      </c>
      <c r="D60" s="422"/>
      <c r="E60" s="413">
        <f t="shared" si="1"/>
        <v>0</v>
      </c>
      <c r="F60" s="719"/>
      <c r="G60" s="508"/>
      <c r="H60" s="508"/>
      <c r="I60" s="508"/>
      <c r="J60" s="508"/>
      <c r="K60" s="508"/>
      <c r="L60" s="474"/>
    </row>
    <row r="61" spans="1:12" ht="11.25" customHeight="1">
      <c r="A61" s="474"/>
      <c r="B61" s="521" t="s">
        <v>387</v>
      </c>
      <c r="C61" s="423">
        <f>C5*C14</f>
        <v>0</v>
      </c>
      <c r="D61" s="417"/>
      <c r="E61" s="413">
        <f t="shared" si="1"/>
        <v>0</v>
      </c>
      <c r="F61" s="719"/>
      <c r="G61" s="508"/>
      <c r="H61" s="508"/>
      <c r="I61" s="508"/>
      <c r="J61" s="508"/>
      <c r="K61" s="508"/>
      <c r="L61" s="474"/>
    </row>
    <row r="62" spans="1:12" ht="11.25" customHeight="1">
      <c r="A62" s="474"/>
      <c r="B62" s="594" t="s">
        <v>145</v>
      </c>
      <c r="C62" s="575">
        <f>C18</f>
        <v>0</v>
      </c>
      <c r="D62" s="591"/>
      <c r="E62" s="469">
        <f t="shared" si="1"/>
        <v>0</v>
      </c>
      <c r="F62" s="719"/>
      <c r="G62" s="508"/>
      <c r="H62" s="508"/>
      <c r="I62" s="508"/>
      <c r="J62" s="508"/>
      <c r="K62" s="508"/>
      <c r="L62" s="474"/>
    </row>
    <row r="63" spans="1:12" ht="11.25" customHeight="1">
      <c r="A63" s="474"/>
      <c r="B63" s="594" t="s">
        <v>148</v>
      </c>
      <c r="C63" s="575">
        <f>C17</f>
        <v>0</v>
      </c>
      <c r="D63" s="591"/>
      <c r="E63" s="469">
        <f t="shared" si="1"/>
        <v>0</v>
      </c>
      <c r="F63" s="719"/>
      <c r="G63" s="508"/>
      <c r="H63" s="508"/>
      <c r="I63" s="508"/>
      <c r="J63" s="508"/>
      <c r="K63" s="508"/>
      <c r="L63" s="474"/>
    </row>
    <row r="64" spans="1:12" ht="11.25" customHeight="1">
      <c r="A64" s="474"/>
      <c r="B64" s="594" t="s">
        <v>696</v>
      </c>
      <c r="C64" s="575">
        <f>C19</f>
        <v>0</v>
      </c>
      <c r="D64" s="591"/>
      <c r="E64" s="469">
        <f t="shared" si="1"/>
        <v>0</v>
      </c>
      <c r="F64" s="719"/>
      <c r="G64" s="508"/>
      <c r="H64" s="508"/>
      <c r="I64" s="508"/>
      <c r="J64" s="508"/>
      <c r="K64" s="508"/>
      <c r="L64" s="474"/>
    </row>
    <row r="65" spans="1:12" ht="12" thickBot="1">
      <c r="A65" s="474"/>
      <c r="B65" s="523" t="s">
        <v>837</v>
      </c>
      <c r="C65" s="471">
        <f>C5*C14</f>
        <v>0</v>
      </c>
      <c r="D65" s="472"/>
      <c r="E65" s="473">
        <f t="shared" si="1"/>
        <v>0</v>
      </c>
      <c r="F65" s="720"/>
      <c r="G65" s="508"/>
      <c r="H65" s="508"/>
      <c r="I65" s="508"/>
      <c r="J65" s="508"/>
      <c r="K65" s="508"/>
      <c r="L65" s="474"/>
    </row>
    <row r="66" spans="1:12" ht="13.5" thickBot="1">
      <c r="A66" s="474"/>
      <c r="B66" s="508"/>
      <c r="C66" s="508"/>
      <c r="D66" s="524" t="s">
        <v>9</v>
      </c>
      <c r="E66" s="710">
        <f>SUMIF(E22:E65,"&gt;0",E22:E65)</f>
        <v>0</v>
      </c>
      <c r="F66" s="720"/>
      <c r="G66" s="508"/>
      <c r="H66" s="508"/>
      <c r="I66" s="508"/>
      <c r="J66" s="508"/>
      <c r="K66" s="508"/>
      <c r="L66" s="474"/>
    </row>
    <row r="67" spans="1:12">
      <c r="A67" s="474"/>
      <c r="B67" s="508"/>
      <c r="C67" s="508"/>
      <c r="D67" s="508"/>
      <c r="E67" s="508"/>
      <c r="F67" s="720"/>
      <c r="G67" s="508"/>
      <c r="H67" s="508"/>
      <c r="I67" s="508"/>
      <c r="J67" s="508"/>
      <c r="K67" s="508"/>
      <c r="L67" s="474"/>
    </row>
    <row r="68" spans="1:12">
      <c r="A68" s="474"/>
      <c r="B68" s="508"/>
      <c r="C68" s="508"/>
      <c r="D68" s="508"/>
      <c r="E68" s="508"/>
      <c r="F68" s="508"/>
      <c r="G68" s="508"/>
      <c r="H68" s="508"/>
      <c r="I68" s="508"/>
      <c r="J68" s="508"/>
      <c r="K68" s="508"/>
      <c r="L68" s="474"/>
    </row>
    <row r="69" spans="1:12" ht="11.25" customHeight="1">
      <c r="A69" s="474"/>
      <c r="B69" s="508"/>
      <c r="C69" s="508"/>
      <c r="D69" s="508"/>
      <c r="E69" s="508"/>
      <c r="F69" s="508"/>
      <c r="G69" s="508"/>
      <c r="H69" s="508"/>
      <c r="I69" s="508"/>
      <c r="J69" s="508"/>
      <c r="K69" s="508"/>
      <c r="L69" s="474"/>
    </row>
    <row r="70" spans="1:12" ht="11.25" customHeight="1">
      <c r="A70" s="474"/>
      <c r="B70" s="474"/>
      <c r="C70" s="474"/>
      <c r="D70" s="474"/>
      <c r="E70" s="474"/>
      <c r="F70" s="474"/>
      <c r="G70" s="474"/>
      <c r="H70" s="474"/>
      <c r="I70" s="474"/>
      <c r="J70" s="474"/>
      <c r="K70" s="474"/>
      <c r="L70" s="474"/>
    </row>
    <row r="71" spans="1:12">
      <c r="A71" s="474"/>
      <c r="B71" s="474"/>
      <c r="C71" s="474"/>
      <c r="D71" s="474"/>
      <c r="E71" s="474"/>
      <c r="F71" s="474"/>
      <c r="G71" s="474"/>
      <c r="H71" s="474"/>
      <c r="I71" s="474"/>
      <c r="J71" s="474"/>
      <c r="K71" s="474"/>
      <c r="L71" s="474"/>
    </row>
    <row r="72" spans="1:12">
      <c r="A72" s="474"/>
      <c r="B72" s="474"/>
      <c r="C72" s="474"/>
      <c r="D72" s="474"/>
      <c r="E72" s="474"/>
      <c r="F72" s="474"/>
      <c r="G72" s="474"/>
      <c r="H72" s="474"/>
      <c r="I72" s="474"/>
      <c r="J72" s="474"/>
      <c r="K72" s="474"/>
      <c r="L72" s="474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324" priority="29" operator="greaterThan">
      <formula>0</formula>
    </cfRule>
  </conditionalFormatting>
  <conditionalFormatting sqref="C5:C8">
    <cfRule type="cellIs" dxfId="323" priority="27" operator="greaterThan">
      <formula>0</formula>
    </cfRule>
  </conditionalFormatting>
  <conditionalFormatting sqref="C9">
    <cfRule type="cellIs" dxfId="322" priority="30" operator="greaterThan">
      <formula>0</formula>
    </cfRule>
  </conditionalFormatting>
  <conditionalFormatting sqref="C9">
    <cfRule type="cellIs" dxfId="321" priority="31" operator="greaterThan">
      <formula>0</formula>
    </cfRule>
  </conditionalFormatting>
  <conditionalFormatting sqref="C14:C15">
    <cfRule type="cellIs" dxfId="320" priority="28" operator="greaterThan">
      <formula>0</formula>
    </cfRule>
  </conditionalFormatting>
  <conditionalFormatting sqref="J3:K20">
    <cfRule type="cellIs" dxfId="319" priority="5" operator="greaterThan">
      <formula>0</formula>
    </cfRule>
    <cfRule type="cellIs" dxfId="318" priority="22" operator="greaterThan">
      <formula>0</formula>
    </cfRule>
    <cfRule type="cellIs" dxfId="317" priority="23" operator="greaterThan">
      <formula>0</formula>
    </cfRule>
  </conditionalFormatting>
  <conditionalFormatting sqref="I3:I20">
    <cfRule type="cellIs" dxfId="316" priority="24" operator="equal">
      <formula>"НЕТ"</formula>
    </cfRule>
    <cfRule type="cellIs" dxfId="315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314" priority="19" operator="greaterThan">
      <formula>0</formula>
    </cfRule>
    <cfRule type="cellIs" dxfId="313" priority="20" operator="greaterThan">
      <formula>0</formula>
    </cfRule>
    <cfRule type="cellIs" dxfId="312" priority="21" operator="greaterThan">
      <formula>0</formula>
    </cfRule>
  </conditionalFormatting>
  <conditionalFormatting sqref="C41:E41">
    <cfRule type="cellIs" dxfId="311" priority="16" operator="greaterThan">
      <formula>0</formula>
    </cfRule>
    <cfRule type="cellIs" dxfId="310" priority="17" operator="greaterThan">
      <formula>0</formula>
    </cfRule>
    <cfRule type="cellIs" dxfId="309" priority="18" operator="greaterThan">
      <formula>0</formula>
    </cfRule>
  </conditionalFormatting>
  <conditionalFormatting sqref="C57:E58">
    <cfRule type="cellIs" dxfId="308" priority="14" operator="greaterThan">
      <formula>0</formula>
    </cfRule>
  </conditionalFormatting>
  <conditionalFormatting sqref="C56:E56">
    <cfRule type="cellIs" dxfId="307" priority="15" operator="greaterThan">
      <formula>0</formula>
    </cfRule>
  </conditionalFormatting>
  <conditionalFormatting sqref="C59:E59">
    <cfRule type="cellIs" dxfId="306" priority="13" operator="greaterThan">
      <formula>0</formula>
    </cfRule>
  </conditionalFormatting>
  <conditionalFormatting sqref="C56:E59">
    <cfRule type="cellIs" dxfId="305" priority="10" operator="greaterThan">
      <formula>0</formula>
    </cfRule>
    <cfRule type="cellIs" dxfId="304" priority="11" operator="greaterThan">
      <formula>0</formula>
    </cfRule>
    <cfRule type="cellIs" dxfId="303" priority="12" operator="greaterThan">
      <formula>0</formula>
    </cfRule>
  </conditionalFormatting>
  <conditionalFormatting sqref="C60:E60">
    <cfRule type="cellIs" dxfId="302" priority="9" operator="greaterThan">
      <formula>0</formula>
    </cfRule>
  </conditionalFormatting>
  <conditionalFormatting sqref="E66">
    <cfRule type="cellIs" dxfId="301" priority="4" operator="greaterThan">
      <formula>0</formula>
    </cfRule>
    <cfRule type="cellIs" dxfId="300" priority="8" operator="greaterThan">
      <formula>0</formula>
    </cfRule>
  </conditionalFormatting>
  <conditionalFormatting sqref="C2:C16">
    <cfRule type="cellIs" dxfId="299" priority="7" operator="greaterThan">
      <formula>0</formula>
    </cfRule>
  </conditionalFormatting>
  <conditionalFormatting sqref="C41:E61 C65:E65">
    <cfRule type="cellIs" dxfId="298" priority="6" operator="greaterThan">
      <formula>0</formula>
    </cfRule>
  </conditionalFormatting>
  <conditionalFormatting sqref="C22:E38">
    <cfRule type="cellIs" dxfId="297" priority="3" operator="greaterThan">
      <formula>0</formula>
    </cfRule>
  </conditionalFormatting>
  <conditionalFormatting sqref="C17:C19">
    <cfRule type="cellIs" dxfId="296" priority="2" operator="greaterThan">
      <formula>0</formula>
    </cfRule>
  </conditionalFormatting>
  <conditionalFormatting sqref="C62:E64">
    <cfRule type="cellIs" dxfId="2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C33" sqref="C33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74"/>
      <c r="B1" s="1171"/>
      <c r="C1" s="1172"/>
      <c r="D1" s="1172"/>
      <c r="E1" s="1172"/>
      <c r="F1" s="474"/>
      <c r="G1" s="474"/>
      <c r="H1" s="474"/>
      <c r="I1" s="474"/>
      <c r="J1" s="474"/>
      <c r="K1" s="474"/>
      <c r="L1" s="474"/>
    </row>
    <row r="2" spans="1:12" ht="12" customHeight="1" thickBot="1">
      <c r="A2" s="474"/>
      <c r="B2" s="476" t="s">
        <v>673</v>
      </c>
      <c r="C2" s="644">
        <v>0</v>
      </c>
      <c r="D2" s="1116" t="s">
        <v>602</v>
      </c>
      <c r="E2" s="1117"/>
      <c r="F2" s="1118"/>
      <c r="G2" s="474"/>
      <c r="H2" s="478" t="s">
        <v>492</v>
      </c>
      <c r="I2" s="691" t="s">
        <v>611</v>
      </c>
      <c r="J2" s="479" t="s">
        <v>4</v>
      </c>
      <c r="K2" s="480" t="s">
        <v>8</v>
      </c>
      <c r="L2" s="474"/>
    </row>
    <row r="3" spans="1:12" ht="12" customHeight="1" thickBot="1">
      <c r="A3" s="474"/>
      <c r="B3" s="481" t="s">
        <v>674</v>
      </c>
      <c r="C3" s="645">
        <v>0</v>
      </c>
      <c r="D3" s="1119"/>
      <c r="E3" s="1120"/>
      <c r="F3" s="1121"/>
      <c r="G3" s="474"/>
      <c r="H3" s="482" t="s">
        <v>496</v>
      </c>
      <c r="I3" s="692" t="str">
        <f>IF(AND($C$7+$C$8+$C$11=1,$C$9+$C$10+$C$12=0,C13=1),"ДА","НЕТ")</f>
        <v>НЕТ</v>
      </c>
      <c r="J3" s="387"/>
      <c r="K3" s="388">
        <f>IF(I3="ДА",$C$21*J3,0)</f>
        <v>0</v>
      </c>
      <c r="L3" s="474"/>
    </row>
    <row r="4" spans="1:12" ht="12" customHeight="1">
      <c r="A4" s="474"/>
      <c r="B4" s="721" t="s">
        <v>516</v>
      </c>
      <c r="C4" s="652">
        <v>0</v>
      </c>
      <c r="D4" s="1179" t="s">
        <v>128</v>
      </c>
      <c r="E4" s="1180"/>
      <c r="F4" s="1181"/>
      <c r="G4" s="474"/>
      <c r="H4" s="487" t="s">
        <v>493</v>
      </c>
      <c r="I4" s="693" t="str">
        <f>IF(AND($C$7+$C$8+$C$11=1,$C$9+$C$10+$C$12=0,$C$13=3),"ДА","НЕТ")</f>
        <v>НЕТ</v>
      </c>
      <c r="J4" s="391"/>
      <c r="K4" s="392">
        <f t="shared" ref="K4:K19" si="0">IF(I4="ДА",$C$21*J4,0)</f>
        <v>0</v>
      </c>
      <c r="L4" s="474"/>
    </row>
    <row r="5" spans="1:12" ht="12" customHeight="1">
      <c r="A5" s="474"/>
      <c r="B5" s="722" t="s">
        <v>517</v>
      </c>
      <c r="C5" s="653">
        <v>0</v>
      </c>
      <c r="D5" s="1182"/>
      <c r="E5" s="1183"/>
      <c r="F5" s="1184"/>
      <c r="G5" s="474"/>
      <c r="H5" s="487" t="s">
        <v>598</v>
      </c>
      <c r="I5" s="693" t="str">
        <f>IF(AND($C$7+$C$8+$C$11=1,$C$9+$C$10+$C$12=0,$C$13=3),"ДА","НЕТ")</f>
        <v>НЕТ</v>
      </c>
      <c r="J5" s="391"/>
      <c r="K5" s="392">
        <f t="shared" si="0"/>
        <v>0</v>
      </c>
      <c r="L5" s="474"/>
    </row>
    <row r="6" spans="1:12" ht="12" customHeight="1" thickBot="1">
      <c r="A6" s="474"/>
      <c r="B6" s="723" t="s">
        <v>681</v>
      </c>
      <c r="C6" s="651">
        <v>0</v>
      </c>
      <c r="D6" s="1185"/>
      <c r="E6" s="1186"/>
      <c r="F6" s="1187"/>
      <c r="G6" s="474"/>
      <c r="H6" s="487" t="s">
        <v>494</v>
      </c>
      <c r="I6" s="693" t="str">
        <f>IF(AND($C$7+$C$8+$C$11=1,$C$9+$C$10+$C$12=0,$C$13=2),"ДА","НЕТ")</f>
        <v>НЕТ</v>
      </c>
      <c r="J6" s="391"/>
      <c r="K6" s="392">
        <f t="shared" si="0"/>
        <v>0</v>
      </c>
      <c r="L6" s="474"/>
    </row>
    <row r="7" spans="1:12" ht="12" customHeight="1">
      <c r="A7" s="474"/>
      <c r="B7" s="724" t="s">
        <v>505</v>
      </c>
      <c r="C7" s="647">
        <v>0</v>
      </c>
      <c r="D7" s="725" t="s">
        <v>294</v>
      </c>
      <c r="E7" s="726" t="s">
        <v>256</v>
      </c>
      <c r="F7" s="1188" t="s">
        <v>604</v>
      </c>
      <c r="G7" s="474"/>
      <c r="H7" s="487" t="s">
        <v>495</v>
      </c>
      <c r="I7" s="693" t="str">
        <f>IF(AND($C$7+$C$8+$C$11=1,$C$9+$C$10+$C$12=0,$C$13=2),"ДА","НЕТ")</f>
        <v>НЕТ</v>
      </c>
      <c r="J7" s="391"/>
      <c r="K7" s="392">
        <f t="shared" si="0"/>
        <v>0</v>
      </c>
      <c r="L7" s="474"/>
    </row>
    <row r="8" spans="1:12" ht="12" customHeight="1">
      <c r="A8" s="474"/>
      <c r="B8" s="722" t="s">
        <v>506</v>
      </c>
      <c r="C8" s="650">
        <v>0</v>
      </c>
      <c r="D8" s="727" t="s">
        <v>294</v>
      </c>
      <c r="E8" s="728" t="s">
        <v>256</v>
      </c>
      <c r="F8" s="1189"/>
      <c r="G8" s="474"/>
      <c r="H8" s="487" t="s">
        <v>501</v>
      </c>
      <c r="I8" s="693" t="str">
        <f>IF(AND($C$7+$C$8+$C$11=1,$C$9+$C$10+$C$12=0,$C$13=2),"ДА","НЕТ")</f>
        <v>НЕТ</v>
      </c>
      <c r="J8" s="391"/>
      <c r="K8" s="392">
        <f t="shared" si="0"/>
        <v>0</v>
      </c>
      <c r="L8" s="474"/>
    </row>
    <row r="9" spans="1:12" ht="12" customHeight="1">
      <c r="A9" s="474"/>
      <c r="B9" s="724" t="s">
        <v>507</v>
      </c>
      <c r="C9" s="647">
        <v>0</v>
      </c>
      <c r="D9" s="725" t="s">
        <v>294</v>
      </c>
      <c r="E9" s="726" t="s">
        <v>256</v>
      </c>
      <c r="F9" s="1189"/>
      <c r="G9" s="474"/>
      <c r="H9" s="482" t="s">
        <v>597</v>
      </c>
      <c r="I9" s="693" t="str">
        <f>IF(AND($C$7+$C$8+$C$11=1,$C$9+$C$10+$C$12=0,$C$13=1),"ДА","НЕТ")</f>
        <v>НЕТ</v>
      </c>
      <c r="J9" s="387"/>
      <c r="K9" s="388">
        <f t="shared" si="0"/>
        <v>0</v>
      </c>
      <c r="L9" s="474"/>
    </row>
    <row r="10" spans="1:12" ht="12" customHeight="1">
      <c r="A10" s="474"/>
      <c r="B10" s="722" t="s">
        <v>508</v>
      </c>
      <c r="C10" s="650">
        <v>0</v>
      </c>
      <c r="D10" s="727" t="s">
        <v>294</v>
      </c>
      <c r="E10" s="728" t="s">
        <v>256</v>
      </c>
      <c r="F10" s="1189"/>
      <c r="G10" s="474"/>
      <c r="H10" s="482" t="s">
        <v>390</v>
      </c>
      <c r="I10" s="693" t="str">
        <f>IF(AND($C$7+$C$8+$C$11+$C$12=0,$C$9+$C$10=1,$C$13=1),"ДА","НЕТ")</f>
        <v>НЕТ</v>
      </c>
      <c r="J10" s="394"/>
      <c r="K10" s="395">
        <f t="shared" si="0"/>
        <v>0</v>
      </c>
      <c r="L10" s="474"/>
    </row>
    <row r="11" spans="1:12" ht="12" customHeight="1">
      <c r="A11" s="474"/>
      <c r="B11" s="722" t="s">
        <v>594</v>
      </c>
      <c r="C11" s="650">
        <v>0</v>
      </c>
      <c r="D11" s="727" t="s">
        <v>294</v>
      </c>
      <c r="E11" s="728" t="s">
        <v>256</v>
      </c>
      <c r="F11" s="1189"/>
      <c r="G11" s="474"/>
      <c r="H11" s="485" t="s">
        <v>391</v>
      </c>
      <c r="I11" s="693" t="str">
        <f>IF(AND($C$7+$C$8+$C$11+$C$12=0,$C$9+$C$10=1,$C$13=1),"ДА","НЕТ")</f>
        <v>НЕТ</v>
      </c>
      <c r="J11" s="394"/>
      <c r="K11" s="395">
        <f t="shared" si="0"/>
        <v>0</v>
      </c>
      <c r="L11" s="474"/>
    </row>
    <row r="12" spans="1:12" ht="12" customHeight="1" thickBot="1">
      <c r="A12" s="474"/>
      <c r="B12" s="723" t="s">
        <v>595</v>
      </c>
      <c r="C12" s="654">
        <v>0</v>
      </c>
      <c r="D12" s="725" t="s">
        <v>294</v>
      </c>
      <c r="E12" s="726" t="s">
        <v>256</v>
      </c>
      <c r="F12" s="1190"/>
      <c r="G12" s="474"/>
      <c r="H12" s="485" t="s">
        <v>392</v>
      </c>
      <c r="I12" s="693" t="str">
        <f>IF(AND($C$7+$C$8+$C$11+$C$12=0,$C$9+$C$10=1,$C$13=1),"ДА","НЕТ")</f>
        <v>НЕТ</v>
      </c>
      <c r="J12" s="397"/>
      <c r="K12" s="395">
        <f t="shared" si="0"/>
        <v>0</v>
      </c>
      <c r="L12" s="474"/>
    </row>
    <row r="13" spans="1:12" ht="12" customHeight="1" thickBot="1">
      <c r="A13" s="474"/>
      <c r="B13" s="498" t="s">
        <v>596</v>
      </c>
      <c r="C13" s="617">
        <v>0</v>
      </c>
      <c r="D13" s="502" t="s">
        <v>626</v>
      </c>
      <c r="E13" s="503" t="s">
        <v>627</v>
      </c>
      <c r="F13" s="505" t="s">
        <v>628</v>
      </c>
      <c r="G13" s="474"/>
      <c r="H13" s="485" t="s">
        <v>599</v>
      </c>
      <c r="I13" s="693" t="str">
        <f>IF(AND($C$7+$C$8+$C$9+$C$10+$C$11=0,$C$12=1,$C$13=1),"ДА","НЕТ")</f>
        <v>НЕТ</v>
      </c>
      <c r="J13" s="397"/>
      <c r="K13" s="395">
        <f t="shared" si="0"/>
        <v>0</v>
      </c>
      <c r="L13" s="474"/>
    </row>
    <row r="14" spans="1:12" ht="12" customHeight="1" thickBot="1">
      <c r="A14" s="474"/>
      <c r="B14" s="729" t="s">
        <v>400</v>
      </c>
      <c r="C14" s="648">
        <v>0</v>
      </c>
      <c r="D14" s="730" t="s">
        <v>401</v>
      </c>
      <c r="E14" s="731" t="s">
        <v>402</v>
      </c>
      <c r="F14" s="1173"/>
      <c r="G14" s="474"/>
      <c r="H14" s="485" t="s">
        <v>599</v>
      </c>
      <c r="I14" s="693" t="str">
        <f>IF(AND($C$7+$C$8+$C$9+$C$10+$C$11=0,$C$12=1,$C$13=1),"ДА","НЕТ")</f>
        <v>НЕТ</v>
      </c>
      <c r="J14" s="397"/>
      <c r="K14" s="395">
        <f t="shared" si="0"/>
        <v>0</v>
      </c>
      <c r="L14" s="474"/>
    </row>
    <row r="15" spans="1:12" ht="12" customHeight="1" thickBot="1">
      <c r="A15" s="474"/>
      <c r="B15" s="732" t="s">
        <v>550</v>
      </c>
      <c r="C15" s="646">
        <v>0</v>
      </c>
      <c r="D15" s="733" t="s">
        <v>294</v>
      </c>
      <c r="E15" s="734" t="s">
        <v>256</v>
      </c>
      <c r="F15" s="1174"/>
      <c r="G15" s="474"/>
      <c r="H15" s="482" t="s">
        <v>395</v>
      </c>
      <c r="I15" s="693" t="str">
        <f>IF(AND($C$7+$C$8+$C$11+$C$12=0,$C$9+$C$10=1,$C$13=2),"ДА","НЕТ")</f>
        <v>НЕТ</v>
      </c>
      <c r="J15" s="394"/>
      <c r="K15" s="395">
        <f t="shared" si="0"/>
        <v>0</v>
      </c>
      <c r="L15" s="474"/>
    </row>
    <row r="16" spans="1:12" ht="12" customHeight="1" thickBot="1">
      <c r="A16" s="474"/>
      <c r="B16" s="732" t="s">
        <v>365</v>
      </c>
      <c r="C16" s="649">
        <v>0</v>
      </c>
      <c r="D16" s="733" t="s">
        <v>424</v>
      </c>
      <c r="E16" s="734" t="s">
        <v>425</v>
      </c>
      <c r="F16" s="1175"/>
      <c r="G16" s="474"/>
      <c r="H16" s="485" t="s">
        <v>396</v>
      </c>
      <c r="I16" s="693" t="str">
        <f>IF(AND($C$7+$C$8+$C$11+$C$12=0,$C$9+$C$10=1,$C$13=2),"ДА","НЕТ")</f>
        <v>НЕТ</v>
      </c>
      <c r="J16" s="394"/>
      <c r="K16" s="395">
        <f t="shared" si="0"/>
        <v>0</v>
      </c>
      <c r="L16" s="474"/>
    </row>
    <row r="17" spans="1:12" ht="12" customHeight="1">
      <c r="A17" s="474"/>
      <c r="B17" s="724" t="s">
        <v>368</v>
      </c>
      <c r="C17" s="647">
        <v>0</v>
      </c>
      <c r="D17" s="735" t="s">
        <v>294</v>
      </c>
      <c r="E17" s="736" t="s">
        <v>256</v>
      </c>
      <c r="F17" s="1124" t="s">
        <v>604</v>
      </c>
      <c r="G17" s="474"/>
      <c r="H17" s="485" t="s">
        <v>397</v>
      </c>
      <c r="I17" s="693" t="str">
        <f>IF(AND($C$7+$C$8+$C$11+$C$12=0,$C$9+$C$10=1,$C$13=2),"ДА","НЕТ")</f>
        <v>НЕТ</v>
      </c>
      <c r="J17" s="394"/>
      <c r="K17" s="392">
        <f t="shared" si="0"/>
        <v>0</v>
      </c>
      <c r="L17" s="474"/>
    </row>
    <row r="18" spans="1:12" ht="12" customHeight="1">
      <c r="A18" s="474"/>
      <c r="B18" s="722" t="s">
        <v>369</v>
      </c>
      <c r="C18" s="650">
        <v>0</v>
      </c>
      <c r="D18" s="727" t="s">
        <v>294</v>
      </c>
      <c r="E18" s="728" t="s">
        <v>256</v>
      </c>
      <c r="F18" s="1125"/>
      <c r="G18" s="474"/>
      <c r="H18" s="482" t="s">
        <v>600</v>
      </c>
      <c r="I18" s="692" t="str">
        <f>IF(AND($C$7+$C$8+$C$9+$C$10+$C$11=0,$C$12=1,$C$13=2),"ДА","НЕТ")</f>
        <v>НЕТ</v>
      </c>
      <c r="J18" s="398"/>
      <c r="K18" s="399">
        <f t="shared" si="0"/>
        <v>0</v>
      </c>
      <c r="L18" s="474"/>
    </row>
    <row r="19" spans="1:12" ht="12" customHeight="1" thickBot="1">
      <c r="A19" s="474"/>
      <c r="B19" s="722" t="s">
        <v>474</v>
      </c>
      <c r="C19" s="650">
        <v>0</v>
      </c>
      <c r="D19" s="727" t="s">
        <v>294</v>
      </c>
      <c r="E19" s="728" t="s">
        <v>256</v>
      </c>
      <c r="F19" s="1125"/>
      <c r="G19" s="474"/>
      <c r="H19" s="506" t="s">
        <v>601</v>
      </c>
      <c r="I19" s="703" t="str">
        <f>IF(AND($C$7+$C$8+$C$9+$C$10+$C$11=0,$C$12=1,$C$13=2),"ДА","НЕТ")</f>
        <v>НЕТ</v>
      </c>
      <c r="J19" s="401"/>
      <c r="K19" s="402">
        <f t="shared" si="0"/>
        <v>0</v>
      </c>
      <c r="L19" s="474"/>
    </row>
    <row r="20" spans="1:12" ht="12" customHeight="1" thickBot="1">
      <c r="A20" s="474"/>
      <c r="B20" s="722" t="s">
        <v>473</v>
      </c>
      <c r="C20" s="650">
        <v>0</v>
      </c>
      <c r="D20" s="737" t="s">
        <v>294</v>
      </c>
      <c r="E20" s="738" t="s">
        <v>256</v>
      </c>
      <c r="F20" s="1126"/>
      <c r="G20" s="474"/>
      <c r="H20" s="474"/>
      <c r="I20" s="474"/>
      <c r="J20" s="474"/>
      <c r="K20" s="474"/>
      <c r="L20" s="474"/>
    </row>
    <row r="21" spans="1:12" ht="12" customHeight="1" thickBot="1">
      <c r="A21" s="474"/>
      <c r="B21" s="732" t="s">
        <v>123</v>
      </c>
      <c r="C21" s="646">
        <v>0</v>
      </c>
      <c r="D21" s="1176" t="s">
        <v>682</v>
      </c>
      <c r="E21" s="1177"/>
      <c r="F21" s="1178"/>
      <c r="G21" s="474"/>
      <c r="H21" s="474"/>
      <c r="I21" s="474"/>
      <c r="J21" s="474"/>
      <c r="K21" s="474"/>
      <c r="L21" s="474"/>
    </row>
    <row r="22" spans="1:12" ht="12" customHeight="1" thickBot="1">
      <c r="A22" s="474"/>
      <c r="B22" s="739" t="s">
        <v>509</v>
      </c>
      <c r="C22" s="651">
        <v>0</v>
      </c>
      <c r="D22" s="1176" t="s">
        <v>547</v>
      </c>
      <c r="E22" s="1177"/>
      <c r="F22" s="1178"/>
      <c r="G22" s="474"/>
      <c r="H22" s="474"/>
      <c r="I22" s="474"/>
      <c r="J22" s="474"/>
      <c r="K22" s="474"/>
      <c r="L22" s="474"/>
    </row>
    <row r="23" spans="1:12" ht="12" customHeight="1">
      <c r="A23" s="474"/>
      <c r="B23" s="799" t="s">
        <v>147</v>
      </c>
      <c r="C23" s="533">
        <v>0</v>
      </c>
      <c r="D23" s="1128" t="s">
        <v>693</v>
      </c>
      <c r="E23" s="1128"/>
      <c r="F23" s="1129"/>
      <c r="G23" s="474"/>
      <c r="H23" s="474"/>
      <c r="I23" s="474"/>
      <c r="J23" s="474"/>
      <c r="K23" s="474"/>
      <c r="L23" s="474"/>
    </row>
    <row r="24" spans="1:12" ht="12" customHeight="1" thickBot="1">
      <c r="A24" s="474"/>
      <c r="B24" s="800" t="s">
        <v>146</v>
      </c>
      <c r="C24" s="532">
        <v>0</v>
      </c>
      <c r="D24" s="1134" t="s">
        <v>694</v>
      </c>
      <c r="E24" s="1134"/>
      <c r="F24" s="1135"/>
      <c r="G24" s="474"/>
      <c r="H24" s="474"/>
      <c r="I24" s="474"/>
      <c r="J24" s="474"/>
      <c r="K24" s="474"/>
      <c r="L24" s="474"/>
    </row>
    <row r="25" spans="1:12" ht="12" customHeight="1" thickBot="1">
      <c r="A25" s="474"/>
      <c r="B25" s="740"/>
      <c r="C25" s="740"/>
      <c r="D25" s="740"/>
      <c r="E25" s="740"/>
      <c r="F25" s="709"/>
      <c r="G25" s="474"/>
      <c r="H25" s="474"/>
      <c r="I25" s="474"/>
      <c r="J25" s="474"/>
      <c r="K25" s="474"/>
      <c r="L25" s="474"/>
    </row>
    <row r="26" spans="1:12" ht="12" customHeight="1" thickBot="1">
      <c r="A26" s="474"/>
      <c r="B26" s="741" t="s">
        <v>5</v>
      </c>
      <c r="C26" s="742" t="s">
        <v>0</v>
      </c>
      <c r="D26" s="743" t="s">
        <v>4</v>
      </c>
      <c r="E26" s="744" t="s">
        <v>8</v>
      </c>
      <c r="F26" s="745"/>
      <c r="G26" s="474"/>
      <c r="H26" s="474"/>
      <c r="I26" s="474"/>
      <c r="J26" s="474"/>
      <c r="K26" s="474"/>
      <c r="L26" s="474"/>
    </row>
    <row r="27" spans="1:12" ht="12" customHeight="1">
      <c r="A27" s="474"/>
      <c r="B27" s="746" t="s">
        <v>570</v>
      </c>
      <c r="C27" s="338">
        <f>C19*C21*(C4+C5+C6)</f>
        <v>0</v>
      </c>
      <c r="D27" s="330"/>
      <c r="E27" s="336">
        <f t="shared" ref="E27:E73" si="1">C27*D27</f>
        <v>0</v>
      </c>
      <c r="F27" s="747"/>
      <c r="G27" s="474"/>
      <c r="H27" s="474"/>
      <c r="I27" s="474"/>
      <c r="J27" s="474"/>
      <c r="K27" s="474"/>
      <c r="L27" s="474"/>
    </row>
    <row r="28" spans="1:12" ht="12" customHeight="1">
      <c r="A28" s="474"/>
      <c r="B28" s="748" t="s">
        <v>571</v>
      </c>
      <c r="C28" s="331">
        <f>C20*C21*(C4+C5+C6)</f>
        <v>0</v>
      </c>
      <c r="D28" s="327"/>
      <c r="E28" s="336">
        <f t="shared" si="1"/>
        <v>0</v>
      </c>
      <c r="F28" s="474"/>
      <c r="G28" s="474"/>
      <c r="H28" s="474"/>
      <c r="I28" s="474"/>
      <c r="J28" s="474"/>
      <c r="K28" s="474"/>
      <c r="L28" s="474"/>
    </row>
    <row r="29" spans="1:12" ht="12" customHeight="1">
      <c r="A29" s="474"/>
      <c r="B29" s="748" t="s">
        <v>117</v>
      </c>
      <c r="C29" s="331">
        <f>(C17+C18)*2*(C4+C5+C6)*C21</f>
        <v>0</v>
      </c>
      <c r="D29" s="327"/>
      <c r="E29" s="336">
        <f t="shared" si="1"/>
        <v>0</v>
      </c>
      <c r="F29" s="474"/>
      <c r="G29" s="474"/>
      <c r="H29" s="474"/>
      <c r="I29" s="474"/>
      <c r="J29" s="474"/>
      <c r="K29" s="474"/>
      <c r="L29" s="474"/>
    </row>
    <row r="30" spans="1:12" ht="12" customHeight="1">
      <c r="A30" s="474"/>
      <c r="B30" s="749" t="s">
        <v>427</v>
      </c>
      <c r="C30" s="332">
        <f>IF(AND(C7+C8+C11&gt;0,C9+C10+C12=0,C16=0),C21*2,0)</f>
        <v>0</v>
      </c>
      <c r="D30" s="321"/>
      <c r="E30" s="336">
        <f t="shared" si="1"/>
        <v>0</v>
      </c>
      <c r="F30" s="474"/>
      <c r="G30" s="474"/>
      <c r="H30" s="474"/>
      <c r="I30" s="474"/>
      <c r="J30" s="474"/>
      <c r="K30" s="474"/>
      <c r="L30" s="474"/>
    </row>
    <row r="31" spans="1:12" ht="12" customHeight="1">
      <c r="A31" s="474"/>
      <c r="B31" s="749" t="s">
        <v>428</v>
      </c>
      <c r="C31" s="333">
        <f>IF(AND(C7+C8+C11&gt;0,C9+C10+C12=0,C16=1),C21*2,0)</f>
        <v>0</v>
      </c>
      <c r="D31" s="323"/>
      <c r="E31" s="336">
        <f t="shared" si="1"/>
        <v>0</v>
      </c>
      <c r="F31" s="474"/>
      <c r="G31" s="474"/>
      <c r="H31" s="474"/>
      <c r="I31" s="474"/>
      <c r="J31" s="474"/>
      <c r="K31" s="474"/>
      <c r="L31" s="474"/>
    </row>
    <row r="32" spans="1:12" ht="12" customHeight="1">
      <c r="A32" s="474"/>
      <c r="B32" s="749" t="s">
        <v>427</v>
      </c>
      <c r="C32" s="332">
        <f>IF(AND(C7+C8+C11=0,C9+C10+C12&gt;0,C16=0),C21,0)</f>
        <v>0</v>
      </c>
      <c r="D32" s="321"/>
      <c r="E32" s="336">
        <f t="shared" si="1"/>
        <v>0</v>
      </c>
      <c r="F32" s="474"/>
      <c r="G32" s="474"/>
      <c r="H32" s="474"/>
      <c r="I32" s="474"/>
      <c r="J32" s="474"/>
      <c r="K32" s="474"/>
      <c r="L32" s="474"/>
    </row>
    <row r="33" spans="1:12" ht="12" customHeight="1">
      <c r="A33" s="474"/>
      <c r="B33" s="749" t="s">
        <v>428</v>
      </c>
      <c r="C33" s="333">
        <f>IF(AND(C7+C8+C11=0,C9+C10+C12&gt;0,C16=1),C21,0)</f>
        <v>0</v>
      </c>
      <c r="D33" s="323"/>
      <c r="E33" s="336">
        <f t="shared" si="1"/>
        <v>0</v>
      </c>
      <c r="F33" s="474"/>
      <c r="G33" s="474"/>
      <c r="H33" s="474"/>
      <c r="I33" s="474"/>
      <c r="J33" s="474"/>
      <c r="K33" s="474"/>
      <c r="L33" s="474"/>
    </row>
    <row r="34" spans="1:12" ht="12" customHeight="1">
      <c r="A34" s="474"/>
      <c r="B34" s="749" t="s">
        <v>520</v>
      </c>
      <c r="C34" s="332">
        <f>IF(AND(C7+C8+C11&gt;0,C9+C10+C12=0,C16=0),(((C4+C5+C6)-1)+C22)*C21,0)</f>
        <v>0</v>
      </c>
      <c r="D34" s="321"/>
      <c r="E34" s="336">
        <f t="shared" si="1"/>
        <v>0</v>
      </c>
      <c r="F34" s="474"/>
      <c r="G34" s="474"/>
      <c r="H34" s="474"/>
      <c r="I34" s="474"/>
      <c r="J34" s="474"/>
      <c r="K34" s="474"/>
      <c r="L34" s="474"/>
    </row>
    <row r="35" spans="1:12" ht="12" customHeight="1">
      <c r="A35" s="474"/>
      <c r="B35" s="749" t="s">
        <v>519</v>
      </c>
      <c r="C35" s="333">
        <f>IF(AND(C7+C8+C11&gt;0,C9+C10+C12=0,C16=1),(((C4+C5+C6)-1)+C22)*C21,0)</f>
        <v>0</v>
      </c>
      <c r="D35" s="323"/>
      <c r="E35" s="336">
        <f t="shared" si="1"/>
        <v>0</v>
      </c>
      <c r="F35" s="474"/>
      <c r="G35" s="474"/>
      <c r="H35" s="474"/>
      <c r="I35" s="474"/>
      <c r="J35" s="474"/>
      <c r="K35" s="474"/>
      <c r="L35" s="474"/>
    </row>
    <row r="36" spans="1:12" ht="12" customHeight="1">
      <c r="A36" s="474"/>
      <c r="B36" s="749" t="s">
        <v>520</v>
      </c>
      <c r="C36" s="332">
        <f>IF(AND(C7+C8+C11=0,C9+C10+C12&gt;0,C16=0),((C4+C5+C6)+C22)*C21,0)</f>
        <v>0</v>
      </c>
      <c r="D36" s="321"/>
      <c r="E36" s="336">
        <f t="shared" si="1"/>
        <v>0</v>
      </c>
      <c r="F36" s="592"/>
      <c r="G36" s="474"/>
      <c r="H36" s="474"/>
      <c r="I36" s="474"/>
      <c r="J36" s="474"/>
      <c r="K36" s="474"/>
      <c r="L36" s="474"/>
    </row>
    <row r="37" spans="1:12" ht="12" customHeight="1">
      <c r="A37" s="474"/>
      <c r="B37" s="749" t="s">
        <v>519</v>
      </c>
      <c r="C37" s="333">
        <f>IF(AND(C7+C8+C11=0,C9+C10+C12&gt;0,C16=1),((C4+C5+C6)+C22)*C21,0)</f>
        <v>0</v>
      </c>
      <c r="D37" s="323"/>
      <c r="E37" s="336">
        <f t="shared" si="1"/>
        <v>0</v>
      </c>
      <c r="F37" s="750"/>
      <c r="G37" s="474"/>
      <c r="H37" s="474"/>
      <c r="I37" s="474"/>
      <c r="J37" s="474"/>
      <c r="K37" s="474"/>
      <c r="L37" s="474"/>
    </row>
    <row r="38" spans="1:12" ht="12" customHeight="1">
      <c r="A38" s="474"/>
      <c r="B38" s="748" t="s">
        <v>649</v>
      </c>
      <c r="C38" s="333">
        <f>IF(C15=0,C21*2,0)</f>
        <v>0</v>
      </c>
      <c r="D38" s="323"/>
      <c r="E38" s="336">
        <f t="shared" si="1"/>
        <v>0</v>
      </c>
      <c r="F38" s="750"/>
      <c r="G38" s="474"/>
      <c r="H38" s="474"/>
      <c r="I38" s="474"/>
      <c r="J38" s="474"/>
      <c r="K38" s="474"/>
      <c r="L38" s="474"/>
    </row>
    <row r="39" spans="1:12" ht="12" customHeight="1">
      <c r="A39" s="474"/>
      <c r="B39" s="749" t="s">
        <v>651</v>
      </c>
      <c r="C39" s="332">
        <f>C15*C21*(C4+C5+C6+1+C22)</f>
        <v>0</v>
      </c>
      <c r="D39" s="325"/>
      <c r="E39" s="336">
        <f t="shared" si="1"/>
        <v>0</v>
      </c>
      <c r="F39" s="750"/>
      <c r="G39" s="474"/>
      <c r="H39" s="474"/>
      <c r="I39" s="474"/>
      <c r="J39" s="474"/>
      <c r="K39" s="474"/>
      <c r="L39" s="474"/>
    </row>
    <row r="40" spans="1:12" ht="12" customHeight="1">
      <c r="A40" s="474"/>
      <c r="B40" s="749" t="s">
        <v>521</v>
      </c>
      <c r="C40" s="332">
        <f>((C4+C5+C6)-1)*C21</f>
        <v>0</v>
      </c>
      <c r="D40" s="321"/>
      <c r="E40" s="336">
        <f t="shared" si="1"/>
        <v>0</v>
      </c>
      <c r="F40" s="750"/>
      <c r="G40" s="474"/>
      <c r="H40" s="474"/>
      <c r="I40" s="474"/>
      <c r="J40" s="474"/>
      <c r="K40" s="474"/>
      <c r="L40" s="474"/>
    </row>
    <row r="41" spans="1:12" ht="12" customHeight="1">
      <c r="A41" s="474"/>
      <c r="B41" s="751" t="s">
        <v>513</v>
      </c>
      <c r="C41" s="334">
        <f>((C4+C5+C6)-1+C22)*C21</f>
        <v>0</v>
      </c>
      <c r="D41" s="321"/>
      <c r="E41" s="336">
        <f t="shared" si="1"/>
        <v>0</v>
      </c>
      <c r="F41" s="750"/>
      <c r="G41" s="474"/>
      <c r="H41" s="474"/>
      <c r="I41" s="474"/>
      <c r="J41" s="474"/>
      <c r="K41" s="474"/>
      <c r="L41" s="474"/>
    </row>
    <row r="42" spans="1:12" ht="12" customHeight="1">
      <c r="A42" s="474"/>
      <c r="B42" s="751" t="s">
        <v>522</v>
      </c>
      <c r="C42" s="334">
        <f>((C4+C5+C6)-1+C22)*C21</f>
        <v>0</v>
      </c>
      <c r="D42" s="321"/>
      <c r="E42" s="336">
        <f t="shared" si="1"/>
        <v>0</v>
      </c>
      <c r="F42" s="750"/>
      <c r="G42" s="474"/>
      <c r="H42" s="474"/>
      <c r="I42" s="474"/>
      <c r="J42" s="474"/>
      <c r="K42" s="474"/>
      <c r="L42" s="474"/>
    </row>
    <row r="43" spans="1:12" ht="12" customHeight="1">
      <c r="A43" s="474"/>
      <c r="B43" s="751" t="s">
        <v>515</v>
      </c>
      <c r="C43" s="334">
        <f>C22*C21</f>
        <v>0</v>
      </c>
      <c r="D43" s="321"/>
      <c r="E43" s="336">
        <f t="shared" si="1"/>
        <v>0</v>
      </c>
      <c r="F43" s="750"/>
      <c r="G43" s="474"/>
      <c r="H43" s="474"/>
      <c r="I43" s="474"/>
      <c r="J43" s="474"/>
      <c r="K43" s="474"/>
      <c r="L43" s="474"/>
    </row>
    <row r="44" spans="1:12" ht="12" customHeight="1">
      <c r="A44" s="474"/>
      <c r="B44" s="749" t="s">
        <v>512</v>
      </c>
      <c r="C44" s="332">
        <f>((C4+C5+C6)-1)*C21</f>
        <v>0</v>
      </c>
      <c r="D44" s="321"/>
      <c r="E44" s="336">
        <f t="shared" si="1"/>
        <v>0</v>
      </c>
      <c r="F44" s="750"/>
      <c r="G44" s="474"/>
      <c r="H44" s="474"/>
      <c r="I44" s="474"/>
      <c r="J44" s="474"/>
      <c r="K44" s="474"/>
      <c r="L44" s="474"/>
    </row>
    <row r="45" spans="1:12" ht="12" customHeight="1">
      <c r="A45" s="474"/>
      <c r="B45" s="749" t="s">
        <v>439</v>
      </c>
      <c r="C45" s="331">
        <f>IF(C5+C6=0,(C40+C44+C64),0)</f>
        <v>0</v>
      </c>
      <c r="D45" s="322"/>
      <c r="E45" s="336">
        <f t="shared" si="1"/>
        <v>0</v>
      </c>
      <c r="F45" s="750"/>
      <c r="G45" s="474"/>
      <c r="H45" s="474"/>
      <c r="I45" s="474"/>
      <c r="J45" s="474"/>
      <c r="K45" s="474"/>
      <c r="L45" s="474"/>
    </row>
    <row r="46" spans="1:12" ht="12" customHeight="1">
      <c r="A46" s="474"/>
      <c r="B46" s="749" t="s">
        <v>440</v>
      </c>
      <c r="C46" s="332">
        <f>IF(AND(C5+C6=0,C4&gt;0),(C40+C44+C64)+1,0)</f>
        <v>0</v>
      </c>
      <c r="D46" s="321"/>
      <c r="E46" s="336">
        <f t="shared" si="1"/>
        <v>0</v>
      </c>
      <c r="F46" s="750"/>
      <c r="G46" s="474"/>
      <c r="H46" s="474"/>
      <c r="I46" s="474"/>
      <c r="J46" s="474"/>
      <c r="K46" s="474"/>
      <c r="L46" s="474"/>
    </row>
    <row r="47" spans="1:12" ht="12" customHeight="1">
      <c r="A47" s="474"/>
      <c r="B47" s="749" t="s">
        <v>607</v>
      </c>
      <c r="C47" s="332">
        <f>IF(AND(C4+C5=0,C6&gt;0),(C40+C44+C64),0)</f>
        <v>0</v>
      </c>
      <c r="D47" s="321"/>
      <c r="E47" s="336">
        <f>C47*D47</f>
        <v>0</v>
      </c>
      <c r="F47" s="750"/>
      <c r="G47" s="474"/>
      <c r="H47" s="474"/>
      <c r="I47" s="474"/>
      <c r="J47" s="474"/>
      <c r="K47" s="474"/>
      <c r="L47" s="474"/>
    </row>
    <row r="48" spans="1:12" ht="12" customHeight="1">
      <c r="A48" s="474"/>
      <c r="B48" s="749" t="s">
        <v>441</v>
      </c>
      <c r="C48" s="332">
        <f>IF(AND(C4=0,(C5+C6)&gt;0),(C40+C44+C64),0)</f>
        <v>0</v>
      </c>
      <c r="D48" s="321"/>
      <c r="E48" s="336">
        <f t="shared" si="1"/>
        <v>0</v>
      </c>
      <c r="F48" s="750"/>
      <c r="G48" s="474"/>
      <c r="H48" s="474"/>
      <c r="I48" s="474"/>
      <c r="J48" s="474"/>
      <c r="K48" s="474"/>
      <c r="L48" s="474"/>
    </row>
    <row r="49" spans="1:12" ht="12" customHeight="1">
      <c r="A49" s="474"/>
      <c r="B49" s="748" t="s">
        <v>481</v>
      </c>
      <c r="C49" s="332">
        <f>C2*C21</f>
        <v>0</v>
      </c>
      <c r="D49" s="321"/>
      <c r="E49" s="336">
        <f t="shared" si="1"/>
        <v>0</v>
      </c>
      <c r="F49" s="474"/>
      <c r="G49" s="474"/>
      <c r="H49" s="474"/>
      <c r="I49" s="474"/>
      <c r="J49" s="474"/>
      <c r="K49" s="474"/>
      <c r="L49" s="474"/>
    </row>
    <row r="50" spans="1:12" ht="12" customHeight="1">
      <c r="A50" s="474"/>
      <c r="B50" s="748" t="s">
        <v>481</v>
      </c>
      <c r="C50" s="332">
        <f>C2*C19*C21</f>
        <v>0</v>
      </c>
      <c r="D50" s="325"/>
      <c r="E50" s="336">
        <f t="shared" si="1"/>
        <v>0</v>
      </c>
      <c r="F50" s="474"/>
      <c r="G50" s="474"/>
      <c r="H50" s="474"/>
      <c r="I50" s="474"/>
      <c r="J50" s="474"/>
      <c r="K50" s="474"/>
      <c r="L50" s="474"/>
    </row>
    <row r="51" spans="1:12" ht="12" customHeight="1">
      <c r="A51" s="474"/>
      <c r="B51" s="749" t="s">
        <v>370</v>
      </c>
      <c r="C51" s="332">
        <f>C18*2*C2*C21</f>
        <v>0</v>
      </c>
      <c r="D51" s="325"/>
      <c r="E51" s="336">
        <f t="shared" si="1"/>
        <v>0</v>
      </c>
      <c r="F51" s="474"/>
      <c r="G51" s="474"/>
      <c r="H51" s="474"/>
      <c r="I51" s="474"/>
      <c r="J51" s="474"/>
      <c r="K51" s="474"/>
      <c r="L51" s="474"/>
    </row>
    <row r="52" spans="1:12" ht="12" customHeight="1">
      <c r="A52" s="474"/>
      <c r="B52" s="749" t="s">
        <v>484</v>
      </c>
      <c r="C52" s="332">
        <f>(C17+C20)*C2</f>
        <v>0</v>
      </c>
      <c r="D52" s="321"/>
      <c r="E52" s="336">
        <f t="shared" si="1"/>
        <v>0</v>
      </c>
      <c r="F52" s="474"/>
      <c r="G52" s="474"/>
      <c r="H52" s="474"/>
      <c r="I52" s="474"/>
      <c r="J52" s="474"/>
      <c r="K52" s="474"/>
      <c r="L52" s="474"/>
    </row>
    <row r="53" spans="1:12" ht="12" customHeight="1">
      <c r="A53" s="474"/>
      <c r="B53" s="749" t="s">
        <v>474</v>
      </c>
      <c r="C53" s="332">
        <f>C21*C2*C19</f>
        <v>0</v>
      </c>
      <c r="D53" s="321"/>
      <c r="E53" s="336">
        <f t="shared" si="1"/>
        <v>0</v>
      </c>
      <c r="F53" s="752"/>
      <c r="G53" s="474"/>
      <c r="H53" s="474"/>
      <c r="I53" s="474"/>
      <c r="J53" s="474"/>
      <c r="K53" s="474"/>
      <c r="L53" s="474"/>
    </row>
    <row r="54" spans="1:12" ht="12" customHeight="1">
      <c r="A54" s="474"/>
      <c r="B54" s="749" t="s">
        <v>652</v>
      </c>
      <c r="C54" s="332">
        <f>C20*C2*C21</f>
        <v>0</v>
      </c>
      <c r="D54" s="325"/>
      <c r="E54" s="336">
        <f t="shared" si="1"/>
        <v>0</v>
      </c>
      <c r="F54" s="752"/>
      <c r="G54" s="474"/>
      <c r="H54" s="474"/>
      <c r="I54" s="474"/>
      <c r="J54" s="474"/>
      <c r="K54" s="474"/>
      <c r="L54" s="474"/>
    </row>
    <row r="55" spans="1:12" ht="12" customHeight="1">
      <c r="A55" s="474"/>
      <c r="B55" s="749" t="s">
        <v>371</v>
      </c>
      <c r="C55" s="332">
        <f>C2*C17*C21</f>
        <v>0</v>
      </c>
      <c r="D55" s="325"/>
      <c r="E55" s="336">
        <f t="shared" si="1"/>
        <v>0</v>
      </c>
      <c r="F55" s="752"/>
      <c r="G55" s="474"/>
      <c r="H55" s="474"/>
      <c r="I55" s="474"/>
      <c r="J55" s="474"/>
      <c r="K55" s="474"/>
      <c r="L55" s="474"/>
    </row>
    <row r="56" spans="1:12" ht="12" customHeight="1">
      <c r="A56" s="474"/>
      <c r="B56" s="749" t="s">
        <v>372</v>
      </c>
      <c r="C56" s="339">
        <f>C2*C18*C21</f>
        <v>0</v>
      </c>
      <c r="D56" s="325"/>
      <c r="E56" s="336">
        <f t="shared" si="1"/>
        <v>0</v>
      </c>
      <c r="F56" s="752"/>
      <c r="G56" s="474"/>
      <c r="H56" s="474"/>
      <c r="I56" s="474"/>
      <c r="J56" s="474"/>
      <c r="K56" s="474"/>
      <c r="L56" s="474"/>
    </row>
    <row r="57" spans="1:12" ht="12" customHeight="1">
      <c r="A57" s="474"/>
      <c r="B57" s="749" t="s">
        <v>431</v>
      </c>
      <c r="C57" s="333">
        <f>C39*2</f>
        <v>0</v>
      </c>
      <c r="D57" s="326"/>
      <c r="E57" s="336">
        <f t="shared" si="1"/>
        <v>0</v>
      </c>
      <c r="F57" s="752"/>
      <c r="G57" s="474"/>
      <c r="H57" s="474"/>
      <c r="I57" s="474"/>
      <c r="J57" s="474"/>
      <c r="K57" s="474"/>
      <c r="L57" s="474"/>
    </row>
    <row r="58" spans="1:12" ht="12" customHeight="1">
      <c r="A58" s="474"/>
      <c r="B58" s="749" t="s">
        <v>650</v>
      </c>
      <c r="C58" s="333">
        <f>IF(C15=1,C21*2,0)</f>
        <v>0</v>
      </c>
      <c r="D58" s="326"/>
      <c r="E58" s="336">
        <f t="shared" si="1"/>
        <v>0</v>
      </c>
      <c r="F58" s="752"/>
      <c r="G58" s="474"/>
      <c r="H58" s="474"/>
      <c r="I58" s="474"/>
      <c r="J58" s="474"/>
      <c r="K58" s="474"/>
      <c r="L58" s="474"/>
    </row>
    <row r="59" spans="1:12" ht="12" customHeight="1">
      <c r="A59" s="474"/>
      <c r="B59" s="749" t="s">
        <v>648</v>
      </c>
      <c r="C59" s="332">
        <f>EVEN(ROUNDDOWN(IF(C15=1,C2*C21/0.5,0),0))</f>
        <v>0</v>
      </c>
      <c r="D59" s="325"/>
      <c r="E59" s="336">
        <f t="shared" si="1"/>
        <v>0</v>
      </c>
      <c r="F59" s="752"/>
      <c r="G59" s="474"/>
      <c r="H59" s="474"/>
      <c r="I59" s="474"/>
      <c r="J59" s="474"/>
      <c r="K59" s="474"/>
      <c r="L59" s="474"/>
    </row>
    <row r="60" spans="1:12" ht="12" customHeight="1">
      <c r="A60" s="474"/>
      <c r="B60" s="748" t="s">
        <v>683</v>
      </c>
      <c r="C60" s="339">
        <f>C15*C2*C21</f>
        <v>0</v>
      </c>
      <c r="D60" s="325"/>
      <c r="E60" s="336">
        <f t="shared" si="1"/>
        <v>0</v>
      </c>
      <c r="F60" s="752"/>
      <c r="G60" s="474"/>
      <c r="H60" s="474"/>
      <c r="I60" s="474"/>
      <c r="J60" s="474"/>
      <c r="K60" s="474"/>
      <c r="L60" s="474"/>
    </row>
    <row r="61" spans="1:12" ht="12" customHeight="1">
      <c r="A61" s="474"/>
      <c r="B61" s="748" t="s">
        <v>468</v>
      </c>
      <c r="C61" s="339">
        <f>IF(AND(C4&gt;0,C5+C6=0),C2*C21,0)</f>
        <v>0</v>
      </c>
      <c r="D61" s="321"/>
      <c r="E61" s="336">
        <f t="shared" si="1"/>
        <v>0</v>
      </c>
      <c r="F61" s="752"/>
      <c r="G61" s="474"/>
      <c r="H61" s="474"/>
      <c r="I61" s="474"/>
      <c r="J61" s="474"/>
      <c r="K61" s="474"/>
      <c r="L61" s="474"/>
    </row>
    <row r="62" spans="1:12" ht="12" customHeight="1">
      <c r="A62" s="474"/>
      <c r="B62" s="748" t="s">
        <v>469</v>
      </c>
      <c r="C62" s="339">
        <f>IF(AND(C5&gt;0,C4+C6=0),C2*C21,0)</f>
        <v>0</v>
      </c>
      <c r="D62" s="321"/>
      <c r="E62" s="336">
        <f t="shared" si="1"/>
        <v>0</v>
      </c>
      <c r="F62" s="752"/>
      <c r="G62" s="474"/>
      <c r="H62" s="474"/>
      <c r="I62" s="474"/>
      <c r="J62" s="474"/>
      <c r="K62" s="474"/>
      <c r="L62" s="474"/>
    </row>
    <row r="63" spans="1:12" ht="12" customHeight="1">
      <c r="A63" s="474"/>
      <c r="B63" s="748" t="s">
        <v>608</v>
      </c>
      <c r="C63" s="339">
        <f>IF(AND(C6&gt;0,(C4+C5)=0),C2*C21,0)</f>
        <v>0</v>
      </c>
      <c r="D63" s="321"/>
      <c r="E63" s="336">
        <f>C63*D63</f>
        <v>0</v>
      </c>
      <c r="F63" s="752"/>
      <c r="G63" s="474"/>
      <c r="H63" s="474"/>
      <c r="I63" s="474"/>
      <c r="J63" s="474"/>
      <c r="K63" s="474"/>
      <c r="L63" s="474"/>
    </row>
    <row r="64" spans="1:12" ht="12" customHeight="1">
      <c r="A64" s="474"/>
      <c r="B64" s="749" t="s">
        <v>654</v>
      </c>
      <c r="C64" s="339">
        <f>C21</f>
        <v>0</v>
      </c>
      <c r="D64" s="321"/>
      <c r="E64" s="336">
        <f t="shared" si="1"/>
        <v>0</v>
      </c>
      <c r="F64" s="752"/>
      <c r="G64" s="474"/>
      <c r="H64" s="474"/>
      <c r="I64" s="474"/>
      <c r="J64" s="474"/>
      <c r="K64" s="474"/>
      <c r="L64" s="474"/>
    </row>
    <row r="65" spans="1:12" ht="12" customHeight="1">
      <c r="A65" s="474"/>
      <c r="B65" s="521" t="s">
        <v>609</v>
      </c>
      <c r="C65" s="423">
        <f>C11*C21</f>
        <v>0</v>
      </c>
      <c r="D65" s="417"/>
      <c r="E65" s="413">
        <f t="shared" si="1"/>
        <v>0</v>
      </c>
      <c r="F65" s="752"/>
      <c r="G65" s="474"/>
      <c r="H65" s="474"/>
      <c r="I65" s="474"/>
      <c r="J65" s="474"/>
      <c r="K65" s="474"/>
      <c r="L65" s="474"/>
    </row>
    <row r="66" spans="1:12" ht="12" customHeight="1">
      <c r="A66" s="474"/>
      <c r="B66" s="521" t="s">
        <v>610</v>
      </c>
      <c r="C66" s="423">
        <f>C12*C21</f>
        <v>0</v>
      </c>
      <c r="D66" s="417"/>
      <c r="E66" s="413">
        <f t="shared" si="1"/>
        <v>0</v>
      </c>
      <c r="F66" s="752"/>
      <c r="G66" s="474"/>
      <c r="H66" s="474"/>
      <c r="I66" s="474"/>
      <c r="J66" s="474"/>
      <c r="K66" s="474"/>
      <c r="L66" s="474"/>
    </row>
    <row r="67" spans="1:12" ht="12" customHeight="1">
      <c r="A67" s="474"/>
      <c r="B67" s="753" t="s">
        <v>385</v>
      </c>
      <c r="C67" s="339">
        <f>C7*C21</f>
        <v>0</v>
      </c>
      <c r="D67" s="321"/>
      <c r="E67" s="336">
        <f t="shared" si="1"/>
        <v>0</v>
      </c>
      <c r="F67" s="474"/>
      <c r="G67" s="474"/>
      <c r="H67" s="474"/>
      <c r="I67" s="474"/>
      <c r="J67" s="474"/>
      <c r="K67" s="474"/>
      <c r="L67" s="474"/>
    </row>
    <row r="68" spans="1:12" ht="12" customHeight="1">
      <c r="A68" s="474"/>
      <c r="B68" s="751" t="s">
        <v>442</v>
      </c>
      <c r="C68" s="339">
        <f>C9*C21</f>
        <v>0</v>
      </c>
      <c r="D68" s="321"/>
      <c r="E68" s="336">
        <f t="shared" si="1"/>
        <v>0</v>
      </c>
      <c r="F68" s="474"/>
      <c r="G68" s="474"/>
      <c r="H68" s="474"/>
      <c r="I68" s="474"/>
      <c r="J68" s="474"/>
      <c r="K68" s="474"/>
      <c r="L68" s="474"/>
    </row>
    <row r="69" spans="1:12" ht="12" customHeight="1">
      <c r="A69" s="474"/>
      <c r="B69" s="751" t="s">
        <v>443</v>
      </c>
      <c r="C69" s="339">
        <f>C8*C21</f>
        <v>0</v>
      </c>
      <c r="D69" s="321"/>
      <c r="E69" s="336">
        <f t="shared" si="1"/>
        <v>0</v>
      </c>
      <c r="F69" s="474"/>
      <c r="G69" s="474"/>
      <c r="H69" s="474"/>
      <c r="I69" s="474"/>
      <c r="J69" s="474"/>
      <c r="K69" s="474"/>
      <c r="L69" s="474"/>
    </row>
    <row r="70" spans="1:12" ht="12" customHeight="1">
      <c r="A70" s="474"/>
      <c r="B70" s="842" t="s">
        <v>689</v>
      </c>
      <c r="C70" s="334">
        <f>IF(C4+C5+C6&gt;0,C4+C5+C6-1,0)</f>
        <v>0</v>
      </c>
      <c r="D70" s="843"/>
      <c r="E70" s="844">
        <f t="shared" si="1"/>
        <v>0</v>
      </c>
      <c r="F70" s="474"/>
      <c r="G70" s="474"/>
      <c r="H70" s="474"/>
      <c r="I70" s="474"/>
      <c r="J70" s="474"/>
      <c r="K70" s="474"/>
      <c r="L70" s="474"/>
    </row>
    <row r="71" spans="1:12" ht="12" customHeight="1">
      <c r="A71" s="474"/>
      <c r="B71" s="594" t="s">
        <v>145</v>
      </c>
      <c r="C71" s="575">
        <f>C24</f>
        <v>0</v>
      </c>
      <c r="D71" s="591"/>
      <c r="E71" s="469">
        <f t="shared" si="1"/>
        <v>0</v>
      </c>
      <c r="F71" s="474"/>
      <c r="G71" s="474"/>
      <c r="H71" s="474"/>
      <c r="I71" s="474"/>
      <c r="J71" s="474"/>
      <c r="K71" s="474"/>
      <c r="L71" s="474"/>
    </row>
    <row r="72" spans="1:12" ht="12" customHeight="1">
      <c r="A72" s="474"/>
      <c r="B72" s="594" t="s">
        <v>148</v>
      </c>
      <c r="C72" s="575">
        <f>C23</f>
        <v>0</v>
      </c>
      <c r="D72" s="591"/>
      <c r="E72" s="469">
        <f t="shared" si="1"/>
        <v>0</v>
      </c>
      <c r="F72" s="474"/>
      <c r="G72" s="474"/>
      <c r="H72" s="474"/>
      <c r="I72" s="474"/>
      <c r="J72" s="474"/>
      <c r="K72" s="474"/>
      <c r="L72" s="474"/>
    </row>
    <row r="73" spans="1:12" ht="12" customHeight="1" thickBot="1">
      <c r="A73" s="474"/>
      <c r="B73" s="754" t="s">
        <v>444</v>
      </c>
      <c r="C73" s="335">
        <f>C10*C21</f>
        <v>0</v>
      </c>
      <c r="D73" s="324"/>
      <c r="E73" s="337">
        <f t="shared" si="1"/>
        <v>0</v>
      </c>
      <c r="F73" s="474"/>
      <c r="G73" s="474"/>
      <c r="H73" s="474"/>
      <c r="I73" s="474"/>
      <c r="J73" s="474"/>
      <c r="K73" s="474"/>
      <c r="L73" s="474"/>
    </row>
    <row r="74" spans="1:12" ht="12" customHeight="1" thickBot="1">
      <c r="A74" s="474"/>
      <c r="B74" s="474"/>
      <c r="C74" s="474"/>
      <c r="D74" s="755" t="s">
        <v>9</v>
      </c>
      <c r="E74" s="756">
        <f>SUMIF(E27:E73,"&gt;0",E27:E73)</f>
        <v>0</v>
      </c>
      <c r="F74" s="474"/>
      <c r="G74" s="474"/>
      <c r="H74" s="474"/>
      <c r="I74" s="474"/>
      <c r="J74" s="474"/>
      <c r="K74" s="474"/>
      <c r="L74" s="474"/>
    </row>
    <row r="75" spans="1:12">
      <c r="A75" s="474"/>
      <c r="B75" s="474"/>
      <c r="C75" s="474"/>
      <c r="D75" s="474"/>
      <c r="E75" s="474"/>
      <c r="F75" s="474"/>
      <c r="G75" s="474"/>
      <c r="H75" s="474"/>
      <c r="I75" s="474"/>
      <c r="J75" s="474"/>
      <c r="K75" s="474"/>
      <c r="L75" s="474"/>
    </row>
    <row r="76" spans="1:12">
      <c r="A76" s="474"/>
      <c r="B76" s="474"/>
      <c r="C76" s="474"/>
      <c r="D76" s="474"/>
      <c r="E76" s="474"/>
      <c r="F76" s="474"/>
      <c r="G76" s="474"/>
      <c r="H76" s="474"/>
      <c r="I76" s="474"/>
      <c r="J76" s="474"/>
      <c r="K76" s="474"/>
      <c r="L76" s="474"/>
    </row>
    <row r="77" spans="1:12" ht="11.25" customHeight="1">
      <c r="A77" s="474"/>
      <c r="B77" s="474"/>
      <c r="C77" s="474"/>
      <c r="D77" s="474"/>
      <c r="E77" s="474"/>
      <c r="F77" s="474"/>
      <c r="G77" s="474"/>
      <c r="H77" s="474"/>
      <c r="I77" s="474"/>
      <c r="J77" s="474"/>
      <c r="K77" s="474"/>
      <c r="L77" s="474"/>
    </row>
    <row r="78" spans="1:12">
      <c r="A78" s="474"/>
      <c r="B78" s="474"/>
      <c r="C78" s="474"/>
      <c r="D78" s="474"/>
      <c r="E78" s="474"/>
      <c r="F78" s="474"/>
      <c r="G78" s="474"/>
      <c r="H78" s="474"/>
      <c r="I78" s="474"/>
      <c r="J78" s="474"/>
      <c r="K78" s="474"/>
      <c r="L78" s="474"/>
    </row>
    <row r="79" spans="1:12">
      <c r="A79" s="474"/>
      <c r="B79" s="474"/>
      <c r="C79" s="474"/>
      <c r="D79" s="474"/>
      <c r="E79" s="474"/>
      <c r="F79" s="474"/>
      <c r="G79" s="474"/>
      <c r="H79" s="474"/>
      <c r="I79" s="474"/>
      <c r="J79" s="474"/>
      <c r="K79" s="474"/>
      <c r="L79" s="474"/>
    </row>
    <row r="80" spans="1:12">
      <c r="A80" s="474"/>
      <c r="B80" s="474"/>
      <c r="C80" s="474"/>
      <c r="D80" s="474"/>
      <c r="E80" s="474"/>
      <c r="F80" s="474"/>
      <c r="G80" s="474"/>
      <c r="H80" s="474"/>
      <c r="I80" s="474"/>
      <c r="J80" s="474"/>
      <c r="K80" s="474"/>
      <c r="L80" s="474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294" priority="48" operator="greaterThan">
      <formula>0</formula>
    </cfRule>
  </conditionalFormatting>
  <conditionalFormatting sqref="C13">
    <cfRule type="cellIs" dxfId="293" priority="47" operator="greaterThan">
      <formula>0</formula>
    </cfRule>
  </conditionalFormatting>
  <conditionalFormatting sqref="C27:E70">
    <cfRule type="cellIs" dxfId="292" priority="46" operator="greaterThan">
      <formula>0</formula>
    </cfRule>
  </conditionalFormatting>
  <conditionalFormatting sqref="C66:E66">
    <cfRule type="cellIs" dxfId="291" priority="45" operator="greaterThan">
      <formula>0</formula>
    </cfRule>
  </conditionalFormatting>
  <conditionalFormatting sqref="C65:E66">
    <cfRule type="cellIs" dxfId="290" priority="44" operator="greaterThan">
      <formula>0</formula>
    </cfRule>
  </conditionalFormatting>
  <conditionalFormatting sqref="J3:J19">
    <cfRule type="cellIs" dxfId="289" priority="17" operator="greaterThan">
      <formula>0</formula>
    </cfRule>
    <cfRule type="cellIs" dxfId="288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87" priority="38" operator="equal">
      <formula>"ДА"</formula>
    </cfRule>
    <cfRule type="cellIs" dxfId="286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85" priority="35" operator="equal">
      <formula>"ДА"</formula>
    </cfRule>
    <cfRule type="cellIs" dxfId="284" priority="36" operator="equal">
      <formula>"НЕТ"</formula>
    </cfRule>
  </conditionalFormatting>
  <conditionalFormatting sqref="I5">
    <cfRule type="cellIs" dxfId="283" priority="32" operator="equal">
      <formula>"ДА"</formula>
    </cfRule>
    <cfRule type="cellIs" dxfId="282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81" priority="28" operator="equal">
      <formula>"ДА"</formula>
    </cfRule>
    <cfRule type="cellIs" dxfId="280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279" priority="24" operator="equal">
      <formula>"ДА"</formula>
    </cfRule>
    <cfRule type="cellIs" dxfId="278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277" priority="22" operator="equal">
      <formula>"ДА"</formula>
    </cfRule>
    <cfRule type="cellIs" dxfId="276" priority="23" operator="equal">
      <formula>"НЕТ"</formula>
    </cfRule>
  </conditionalFormatting>
  <conditionalFormatting sqref="I19">
    <cfRule type="cellIs" dxfId="275" priority="20" operator="equal">
      <formula>"ДА"</formula>
    </cfRule>
    <cfRule type="cellIs" dxfId="274" priority="21" operator="equal">
      <formula>"НЕТ"</formula>
    </cfRule>
  </conditionalFormatting>
  <conditionalFormatting sqref="K3:K19">
    <cfRule type="cellIs" dxfId="273" priority="19" operator="greaterThan">
      <formula>0</formula>
    </cfRule>
  </conditionalFormatting>
  <conditionalFormatting sqref="I15:I19">
    <cfRule type="cellIs" dxfId="272" priority="16" operator="equal">
      <formula>"НЕТ"</formula>
    </cfRule>
  </conditionalFormatting>
  <conditionalFormatting sqref="I3:I19">
    <cfRule type="cellIs" dxfId="271" priority="14" operator="equal">
      <formula>"НЕТ"</formula>
    </cfRule>
    <cfRule type="cellIs" dxfId="270" priority="15" operator="equal">
      <formula>"ДА"</formula>
    </cfRule>
  </conditionalFormatting>
  <conditionalFormatting sqref="I3:I18">
    <cfRule type="cellIs" dxfId="269" priority="13" operator="equal">
      <formula>"ДА"</formula>
    </cfRule>
  </conditionalFormatting>
  <conditionalFormatting sqref="I5">
    <cfRule type="cellIs" dxfId="268" priority="10" operator="equal">
      <formula>"ДА"</formula>
    </cfRule>
    <cfRule type="cellIs" dxfId="267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66" priority="7" operator="equal">
      <formula>"ДА"</formula>
    </cfRule>
    <cfRule type="cellIs" dxfId="265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264" priority="6" operator="greaterThan">
      <formula>0</formula>
    </cfRule>
  </conditionalFormatting>
  <conditionalFormatting sqref="C73:E73">
    <cfRule type="cellIs" dxfId="263" priority="5" operator="greaterThan">
      <formula>0</formula>
    </cfRule>
  </conditionalFormatting>
  <conditionalFormatting sqref="E74">
    <cfRule type="cellIs" dxfId="262" priority="4" operator="greaterThan">
      <formula>0</formula>
    </cfRule>
  </conditionalFormatting>
  <conditionalFormatting sqref="J3:K19">
    <cfRule type="cellIs" dxfId="261" priority="3" operator="greaterThan">
      <formula>0</formula>
    </cfRule>
  </conditionalFormatting>
  <conditionalFormatting sqref="C23:C24">
    <cfRule type="cellIs" dxfId="260" priority="2" operator="greaterThan">
      <formula>0</formula>
    </cfRule>
  </conditionalFormatting>
  <conditionalFormatting sqref="C71:E72">
    <cfRule type="cellIs" dxfId="25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H47" sqref="H47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74"/>
      <c r="B1" s="1191"/>
      <c r="C1" s="1191"/>
      <c r="D1" s="1191"/>
      <c r="E1" s="1191"/>
      <c r="F1" s="474"/>
      <c r="G1" s="474"/>
      <c r="H1" s="474"/>
      <c r="I1" s="474"/>
      <c r="J1" s="474"/>
      <c r="K1" s="474"/>
      <c r="L1" s="474"/>
    </row>
    <row r="2" spans="1:12" ht="11.25" customHeight="1" thickBot="1">
      <c r="A2" s="508"/>
      <c r="B2" s="476" t="s">
        <v>673</v>
      </c>
      <c r="C2" s="660">
        <v>0</v>
      </c>
      <c r="D2" s="1116" t="s">
        <v>602</v>
      </c>
      <c r="E2" s="1117"/>
      <c r="F2" s="1118"/>
      <c r="G2" s="550"/>
      <c r="H2" s="478" t="s">
        <v>492</v>
      </c>
      <c r="I2" s="757" t="s">
        <v>611</v>
      </c>
      <c r="J2" s="479" t="s">
        <v>4</v>
      </c>
      <c r="K2" s="480" t="s">
        <v>8</v>
      </c>
      <c r="L2" s="474"/>
    </row>
    <row r="3" spans="1:12" ht="13.5" thickBot="1">
      <c r="A3" s="508"/>
      <c r="B3" s="481" t="s">
        <v>674</v>
      </c>
      <c r="C3" s="528">
        <v>0</v>
      </c>
      <c r="D3" s="1119"/>
      <c r="E3" s="1120"/>
      <c r="F3" s="1121"/>
      <c r="G3" s="550"/>
      <c r="H3" s="482" t="s">
        <v>496</v>
      </c>
      <c r="I3" s="692" t="str">
        <f>IF(AND($C$7+$C$8+$C$9=1,$C$10+$C$11+$C$12=0,C13=1),"ДА","НЕТ")</f>
        <v>НЕТ</v>
      </c>
      <c r="J3" s="387"/>
      <c r="K3" s="388">
        <f>IF(I3="ДА",$C$18*J3,0)</f>
        <v>0</v>
      </c>
      <c r="L3" s="474"/>
    </row>
    <row r="4" spans="1:12" ht="12.75">
      <c r="A4" s="508"/>
      <c r="B4" s="476" t="s">
        <v>516</v>
      </c>
      <c r="C4" s="655">
        <v>0</v>
      </c>
      <c r="D4" s="1179" t="s">
        <v>128</v>
      </c>
      <c r="E4" s="1180"/>
      <c r="F4" s="1181"/>
      <c r="G4" s="508"/>
      <c r="H4" s="487" t="s">
        <v>493</v>
      </c>
      <c r="I4" s="693" t="str">
        <f>IF(AND($C$7+$C$8+$C$9=1,$C$10+$C$11+$C$12=0,C13=3),"ДА","НЕТ")</f>
        <v>НЕТ</v>
      </c>
      <c r="J4" s="391"/>
      <c r="K4" s="392">
        <f t="shared" ref="K4:K19" si="0">IF(I4="ДА",$C$18*J4,0)</f>
        <v>0</v>
      </c>
      <c r="L4" s="474"/>
    </row>
    <row r="5" spans="1:12" ht="12.75">
      <c r="A5" s="508"/>
      <c r="B5" s="486" t="s">
        <v>517</v>
      </c>
      <c r="C5" s="656">
        <v>0</v>
      </c>
      <c r="D5" s="1182"/>
      <c r="E5" s="1183"/>
      <c r="F5" s="1184"/>
      <c r="G5" s="508"/>
      <c r="H5" s="487" t="s">
        <v>598</v>
      </c>
      <c r="I5" s="693" t="str">
        <f>IF(AND($C$7+$C$8+$C$9=1,$C$10+$C$11+$C$12=0,C13=3),"ДА","НЕТ")</f>
        <v>НЕТ</v>
      </c>
      <c r="J5" s="391"/>
      <c r="K5" s="392">
        <f t="shared" si="0"/>
        <v>0</v>
      </c>
      <c r="L5" s="474"/>
    </row>
    <row r="6" spans="1:12" ht="13.5" thickBot="1">
      <c r="A6" s="508"/>
      <c r="B6" s="509" t="s">
        <v>681</v>
      </c>
      <c r="C6" s="657">
        <v>0</v>
      </c>
      <c r="D6" s="1185"/>
      <c r="E6" s="1186"/>
      <c r="F6" s="1187"/>
      <c r="G6" s="508"/>
      <c r="H6" s="487" t="s">
        <v>494</v>
      </c>
      <c r="I6" s="693" t="str">
        <f>IF(AND($C$7+$C$8+$C$9=1,$C$10+$C$11+$C$12=0,C13=2),"ДА","НЕТ")</f>
        <v>НЕТ</v>
      </c>
      <c r="J6" s="391"/>
      <c r="K6" s="392">
        <f t="shared" si="0"/>
        <v>0</v>
      </c>
      <c r="L6" s="474"/>
    </row>
    <row r="7" spans="1:12" ht="12.75">
      <c r="A7" s="508"/>
      <c r="B7" s="476" t="s">
        <v>505</v>
      </c>
      <c r="C7" s="533">
        <v>0</v>
      </c>
      <c r="D7" s="489" t="s">
        <v>294</v>
      </c>
      <c r="E7" s="490" t="s">
        <v>256</v>
      </c>
      <c r="F7" s="1188" t="s">
        <v>604</v>
      </c>
      <c r="G7" s="508"/>
      <c r="H7" s="487" t="s">
        <v>495</v>
      </c>
      <c r="I7" s="693" t="str">
        <f>IF(AND($C$7+$C$8+$C$9=1,$C$10+$C$11+$C$12=0,C13=2),"ДА","НЕТ")</f>
        <v>НЕТ</v>
      </c>
      <c r="J7" s="391"/>
      <c r="K7" s="392">
        <f t="shared" si="0"/>
        <v>0</v>
      </c>
      <c r="L7" s="474"/>
    </row>
    <row r="8" spans="1:12" ht="12.75">
      <c r="A8" s="508"/>
      <c r="B8" s="486" t="s">
        <v>506</v>
      </c>
      <c r="C8" s="530">
        <v>0</v>
      </c>
      <c r="D8" s="493" t="s">
        <v>294</v>
      </c>
      <c r="E8" s="493" t="s">
        <v>256</v>
      </c>
      <c r="F8" s="1189"/>
      <c r="G8" s="508"/>
      <c r="H8" s="487" t="s">
        <v>501</v>
      </c>
      <c r="I8" s="693" t="str">
        <f>IF(AND($C$7+$C$8+$C$9=1,$C$10+$C$11+$C$12=0,C13=2),"ДА","НЕТ")</f>
        <v>НЕТ</v>
      </c>
      <c r="J8" s="391"/>
      <c r="K8" s="392">
        <f t="shared" si="0"/>
        <v>0</v>
      </c>
      <c r="L8" s="474"/>
    </row>
    <row r="9" spans="1:12" ht="12.75">
      <c r="A9" s="508"/>
      <c r="B9" s="486" t="s">
        <v>594</v>
      </c>
      <c r="C9" s="530">
        <v>0</v>
      </c>
      <c r="D9" s="493" t="s">
        <v>294</v>
      </c>
      <c r="E9" s="493" t="s">
        <v>256</v>
      </c>
      <c r="F9" s="1189"/>
      <c r="G9" s="508"/>
      <c r="H9" s="482" t="s">
        <v>597</v>
      </c>
      <c r="I9" s="693" t="str">
        <f>IF(AND($C$7+$C$8+$C$9=1,$C$10+$C$11+$C$12=0,C13=1),"ДА","НЕТ")</f>
        <v>НЕТ</v>
      </c>
      <c r="J9" s="387"/>
      <c r="K9" s="388">
        <f t="shared" si="0"/>
        <v>0</v>
      </c>
      <c r="L9" s="474"/>
    </row>
    <row r="10" spans="1:12" ht="12.75">
      <c r="A10" s="508"/>
      <c r="B10" s="488" t="s">
        <v>507</v>
      </c>
      <c r="C10" s="531">
        <v>0</v>
      </c>
      <c r="D10" s="491" t="s">
        <v>294</v>
      </c>
      <c r="E10" s="492" t="s">
        <v>256</v>
      </c>
      <c r="F10" s="1189"/>
      <c r="G10" s="510"/>
      <c r="H10" s="482" t="s">
        <v>390</v>
      </c>
      <c r="I10" s="693" t="str">
        <f>IF(AND($C$7+$C$8+$C$9+$C$12=0,$C$10+$C$11=1,$C$13=1),"ДА","НЕТ")</f>
        <v>НЕТ</v>
      </c>
      <c r="J10" s="394"/>
      <c r="K10" s="395">
        <f t="shared" si="0"/>
        <v>0</v>
      </c>
      <c r="L10" s="474"/>
    </row>
    <row r="11" spans="1:12" ht="12.75">
      <c r="A11" s="508"/>
      <c r="B11" s="486" t="s">
        <v>508</v>
      </c>
      <c r="C11" s="530">
        <v>0</v>
      </c>
      <c r="D11" s="493" t="s">
        <v>294</v>
      </c>
      <c r="E11" s="493" t="s">
        <v>256</v>
      </c>
      <c r="F11" s="1189"/>
      <c r="G11" s="522"/>
      <c r="H11" s="485" t="s">
        <v>391</v>
      </c>
      <c r="I11" s="693" t="str">
        <f>IF(AND($C$7+$C$8+$C$9+$C$12=0,$C$10+$C$11=1,$C$13=1),"ДА","НЕТ")</f>
        <v>НЕТ</v>
      </c>
      <c r="J11" s="394"/>
      <c r="K11" s="395">
        <f t="shared" si="0"/>
        <v>0</v>
      </c>
      <c r="L11" s="474"/>
    </row>
    <row r="12" spans="1:12" ht="13.5" thickBot="1">
      <c r="A12" s="508"/>
      <c r="B12" s="583" t="s">
        <v>595</v>
      </c>
      <c r="C12" s="582">
        <v>0</v>
      </c>
      <c r="D12" s="695" t="s">
        <v>294</v>
      </c>
      <c r="E12" s="585" t="s">
        <v>256</v>
      </c>
      <c r="F12" s="1190"/>
      <c r="G12" s="522"/>
      <c r="H12" s="485" t="s">
        <v>392</v>
      </c>
      <c r="I12" s="693" t="str">
        <f>IF(AND($C$7+$C$8+$C$9+$C$12=0,$C$10+$C$11=1,$C$13=1),"ДА","НЕТ")</f>
        <v>НЕТ</v>
      </c>
      <c r="J12" s="397"/>
      <c r="K12" s="395">
        <f t="shared" si="0"/>
        <v>0</v>
      </c>
      <c r="L12" s="474"/>
    </row>
    <row r="13" spans="1:12" ht="13.5" thickBot="1">
      <c r="A13" s="508"/>
      <c r="B13" s="498" t="s">
        <v>596</v>
      </c>
      <c r="C13" s="617">
        <v>0</v>
      </c>
      <c r="D13" s="502" t="s">
        <v>626</v>
      </c>
      <c r="E13" s="503" t="s">
        <v>627</v>
      </c>
      <c r="F13" s="505" t="s">
        <v>628</v>
      </c>
      <c r="G13" s="522"/>
      <c r="H13" s="485" t="s">
        <v>599</v>
      </c>
      <c r="I13" s="693" t="str">
        <f>IF(AND($C$7+$C$8+$C$9+$C$10+$C$11=0,$C$12=1,$C$13=1),"ДА","НЕТ")</f>
        <v>НЕТ</v>
      </c>
      <c r="J13" s="397"/>
      <c r="K13" s="395">
        <f t="shared" si="0"/>
        <v>0</v>
      </c>
      <c r="L13" s="474"/>
    </row>
    <row r="14" spans="1:12" ht="12.75">
      <c r="A14" s="508"/>
      <c r="B14" s="488" t="s">
        <v>368</v>
      </c>
      <c r="C14" s="531">
        <v>0</v>
      </c>
      <c r="D14" s="491" t="s">
        <v>294</v>
      </c>
      <c r="E14" s="492" t="s">
        <v>256</v>
      </c>
      <c r="F14" s="1124" t="s">
        <v>604</v>
      </c>
      <c r="G14" s="508"/>
      <c r="H14" s="485" t="s">
        <v>599</v>
      </c>
      <c r="I14" s="693" t="str">
        <f>IF(AND($C$7+$C$8+$C$9+$C$10+$C$11=0,$C$12=1,$C$13=1),"ДА","НЕТ")</f>
        <v>НЕТ</v>
      </c>
      <c r="J14" s="397"/>
      <c r="K14" s="395">
        <f t="shared" si="0"/>
        <v>0</v>
      </c>
      <c r="L14" s="474"/>
    </row>
    <row r="15" spans="1:12" ht="12.75">
      <c r="A15" s="508"/>
      <c r="B15" s="486" t="s">
        <v>369</v>
      </c>
      <c r="C15" s="530">
        <v>0</v>
      </c>
      <c r="D15" s="493" t="s">
        <v>294</v>
      </c>
      <c r="E15" s="494" t="s">
        <v>256</v>
      </c>
      <c r="F15" s="1125"/>
      <c r="G15" s="508"/>
      <c r="H15" s="482" t="s">
        <v>395</v>
      </c>
      <c r="I15" s="693" t="str">
        <f>IF(AND($C$7+$C$8+$C$9+$C$12=0,$C$10+$C$11=1,$C$13=2),"ДА","НЕТ")</f>
        <v>НЕТ</v>
      </c>
      <c r="J15" s="394"/>
      <c r="K15" s="395">
        <f t="shared" si="0"/>
        <v>0</v>
      </c>
      <c r="L15" s="474"/>
    </row>
    <row r="16" spans="1:12" ht="12.75">
      <c r="A16" s="508"/>
      <c r="B16" s="486" t="s">
        <v>474</v>
      </c>
      <c r="C16" s="530">
        <v>0</v>
      </c>
      <c r="D16" s="493" t="s">
        <v>294</v>
      </c>
      <c r="E16" s="494" t="s">
        <v>256</v>
      </c>
      <c r="F16" s="1125"/>
      <c r="G16" s="508"/>
      <c r="H16" s="485" t="s">
        <v>396</v>
      </c>
      <c r="I16" s="693" t="str">
        <f>IF(AND($C$7+$C$8+$C$9+$C$12=0,$C$10+$C$11=1,$C$13=2),"ДА","НЕТ")</f>
        <v>НЕТ</v>
      </c>
      <c r="J16" s="394"/>
      <c r="K16" s="395">
        <f t="shared" si="0"/>
        <v>0</v>
      </c>
      <c r="L16" s="474"/>
    </row>
    <row r="17" spans="1:12" ht="13.5" thickBot="1">
      <c r="A17" s="508"/>
      <c r="B17" s="486" t="s">
        <v>473</v>
      </c>
      <c r="C17" s="530">
        <v>0</v>
      </c>
      <c r="D17" s="496" t="s">
        <v>294</v>
      </c>
      <c r="E17" s="497" t="s">
        <v>256</v>
      </c>
      <c r="F17" s="1126"/>
      <c r="G17" s="508"/>
      <c r="H17" s="485" t="s">
        <v>397</v>
      </c>
      <c r="I17" s="693" t="str">
        <f>IF(AND($C$7+$C$8+$C$9+$C$12=0,$C$10+$C$11=1,$C$13=2),"ДА","НЕТ")</f>
        <v>НЕТ</v>
      </c>
      <c r="J17" s="394"/>
      <c r="K17" s="392">
        <f t="shared" si="0"/>
        <v>0</v>
      </c>
      <c r="L17" s="474"/>
    </row>
    <row r="18" spans="1:12" ht="13.5" thickBot="1">
      <c r="A18" s="508"/>
      <c r="B18" s="498" t="s">
        <v>123</v>
      </c>
      <c r="C18" s="635">
        <v>0</v>
      </c>
      <c r="D18" s="1168" t="s">
        <v>682</v>
      </c>
      <c r="E18" s="1169"/>
      <c r="F18" s="1170"/>
      <c r="G18" s="508"/>
      <c r="H18" s="482" t="s">
        <v>600</v>
      </c>
      <c r="I18" s="692" t="str">
        <f>IF(AND($C$7+$C$8+$C$9+$C$10+$C$11=0,$C$12=1,$C$13=2),"ДА","НЕТ")</f>
        <v>НЕТ</v>
      </c>
      <c r="J18" s="398"/>
      <c r="K18" s="399">
        <f t="shared" si="0"/>
        <v>0</v>
      </c>
      <c r="L18" s="474"/>
    </row>
    <row r="19" spans="1:12" ht="13.5" thickBot="1">
      <c r="A19" s="508"/>
      <c r="B19" s="799" t="s">
        <v>147</v>
      </c>
      <c r="C19" s="533">
        <v>0</v>
      </c>
      <c r="D19" s="1128" t="s">
        <v>693</v>
      </c>
      <c r="E19" s="1128"/>
      <c r="F19" s="1129"/>
      <c r="G19" s="508"/>
      <c r="H19" s="506" t="s">
        <v>601</v>
      </c>
      <c r="I19" s="703" t="str">
        <f>IF(AND($C$7+$C$8+$C$9+$C$10+$C$11=0,$C$12=1,$C$13=2),"ДА","НЕТ")</f>
        <v>НЕТ</v>
      </c>
      <c r="J19" s="401"/>
      <c r="K19" s="402">
        <f t="shared" si="0"/>
        <v>0</v>
      </c>
      <c r="L19" s="474"/>
    </row>
    <row r="20" spans="1:12" s="88" customFormat="1" ht="13.5" thickBot="1">
      <c r="A20" s="512"/>
      <c r="B20" s="800" t="s">
        <v>146</v>
      </c>
      <c r="C20" s="532">
        <v>0</v>
      </c>
      <c r="D20" s="1134" t="s">
        <v>694</v>
      </c>
      <c r="E20" s="1134"/>
      <c r="F20" s="1135"/>
      <c r="G20" s="512"/>
      <c r="H20" s="633"/>
      <c r="I20" s="798"/>
      <c r="J20" s="405"/>
      <c r="K20" s="406"/>
      <c r="L20" s="709"/>
    </row>
    <row r="21" spans="1:12" ht="13.5" thickBot="1">
      <c r="A21" s="508"/>
      <c r="B21" s="508"/>
      <c r="C21" s="508"/>
      <c r="D21" s="508"/>
      <c r="E21" s="508"/>
      <c r="F21" s="508"/>
      <c r="G21" s="508"/>
      <c r="H21" s="633"/>
      <c r="I21" s="798"/>
      <c r="J21" s="405"/>
      <c r="K21" s="406"/>
      <c r="L21" s="474"/>
    </row>
    <row r="22" spans="1:12" ht="12.75">
      <c r="A22" s="508"/>
      <c r="B22" s="513" t="s">
        <v>5</v>
      </c>
      <c r="C22" s="514" t="s">
        <v>0</v>
      </c>
      <c r="D22" s="700" t="s">
        <v>4</v>
      </c>
      <c r="E22" s="516" t="s">
        <v>8</v>
      </c>
      <c r="F22" s="508"/>
      <c r="G22" s="508"/>
      <c r="H22" s="508"/>
      <c r="I22" s="508"/>
      <c r="J22" s="508"/>
      <c r="K22" s="508"/>
      <c r="L22" s="474"/>
    </row>
    <row r="23" spans="1:12">
      <c r="A23" s="508"/>
      <c r="B23" s="518" t="s">
        <v>476</v>
      </c>
      <c r="C23" s="411">
        <f>(C4+C5+C6)*C18*C16</f>
        <v>0</v>
      </c>
      <c r="D23" s="620"/>
      <c r="E23" s="621">
        <f t="shared" ref="E23:E68" si="1">C23*D23</f>
        <v>0</v>
      </c>
      <c r="F23" s="508"/>
      <c r="G23" s="508"/>
      <c r="H23" s="508"/>
      <c r="I23" s="508"/>
      <c r="J23" s="508"/>
      <c r="K23" s="508"/>
      <c r="L23" s="474"/>
    </row>
    <row r="24" spans="1:12">
      <c r="A24" s="508"/>
      <c r="B24" s="518" t="s">
        <v>543</v>
      </c>
      <c r="C24" s="411">
        <f>C4*C17*(C4+C5+C6)</f>
        <v>0</v>
      </c>
      <c r="D24" s="412"/>
      <c r="E24" s="621">
        <f t="shared" si="1"/>
        <v>0</v>
      </c>
      <c r="F24" s="508"/>
      <c r="G24" s="508"/>
      <c r="H24" s="508"/>
      <c r="I24" s="508"/>
      <c r="J24" s="508"/>
      <c r="K24" s="508"/>
      <c r="L24" s="474"/>
    </row>
    <row r="25" spans="1:12">
      <c r="A25" s="508"/>
      <c r="B25" s="518" t="s">
        <v>117</v>
      </c>
      <c r="C25" s="411">
        <f>(C15+C14)*2*(C4+C5+C6)*C18</f>
        <v>0</v>
      </c>
      <c r="D25" s="412"/>
      <c r="E25" s="621">
        <f t="shared" si="1"/>
        <v>0</v>
      </c>
      <c r="F25" s="508"/>
      <c r="G25" s="508"/>
      <c r="H25" s="508"/>
      <c r="I25" s="508"/>
      <c r="J25" s="508"/>
      <c r="K25" s="508"/>
      <c r="L25" s="474"/>
    </row>
    <row r="26" spans="1:12">
      <c r="A26" s="508"/>
      <c r="B26" s="520" t="s">
        <v>447</v>
      </c>
      <c r="C26" s="416">
        <f>EVEN(ROUNDDOWN(IF(C18&gt;0,(C2/0.5)*C18,0),0))</f>
        <v>0</v>
      </c>
      <c r="D26" s="620"/>
      <c r="E26" s="621">
        <f t="shared" si="1"/>
        <v>0</v>
      </c>
      <c r="F26" s="508"/>
      <c r="G26" s="508"/>
      <c r="H26" s="508"/>
      <c r="I26" s="508"/>
      <c r="J26" s="508"/>
      <c r="K26" s="508"/>
      <c r="L26" s="474"/>
    </row>
    <row r="27" spans="1:12">
      <c r="A27" s="508"/>
      <c r="B27" s="520" t="s">
        <v>427</v>
      </c>
      <c r="C27" s="416">
        <f>IF(AND(C7+C8+C9&gt;0,C10+C11+C12=0),C18*2,0)</f>
        <v>0</v>
      </c>
      <c r="D27" s="620"/>
      <c r="E27" s="621">
        <f t="shared" si="1"/>
        <v>0</v>
      </c>
      <c r="F27" s="508"/>
      <c r="G27" s="508"/>
      <c r="H27" s="508"/>
      <c r="I27" s="508"/>
      <c r="J27" s="508"/>
      <c r="K27" s="508"/>
      <c r="L27" s="474"/>
    </row>
    <row r="28" spans="1:12">
      <c r="A28" s="508"/>
      <c r="B28" s="520" t="s">
        <v>427</v>
      </c>
      <c r="C28" s="416">
        <f>IF(AND(C7+C8+C9=0,C10+C11+C12&gt;0),C18,0)</f>
        <v>0</v>
      </c>
      <c r="D28" s="620"/>
      <c r="E28" s="621">
        <f t="shared" si="1"/>
        <v>0</v>
      </c>
      <c r="F28" s="508"/>
      <c r="G28" s="508"/>
      <c r="H28" s="508"/>
      <c r="I28" s="508"/>
      <c r="J28" s="508"/>
      <c r="K28" s="508"/>
      <c r="L28" s="474"/>
    </row>
    <row r="29" spans="1:12">
      <c r="A29" s="508"/>
      <c r="B29" s="520" t="s">
        <v>518</v>
      </c>
      <c r="C29" s="416">
        <f>IF(AND(C7+C8+C9&gt;0,C10+C11+C12=0),(C4+C5+C6-1)*C18,0)</f>
        <v>0</v>
      </c>
      <c r="D29" s="620"/>
      <c r="E29" s="621">
        <f t="shared" si="1"/>
        <v>0</v>
      </c>
      <c r="F29" s="508"/>
      <c r="G29" s="508"/>
      <c r="H29" s="508"/>
      <c r="I29" s="508"/>
      <c r="J29" s="508"/>
      <c r="K29" s="508"/>
      <c r="L29" s="474"/>
    </row>
    <row r="30" spans="1:12">
      <c r="A30" s="508"/>
      <c r="B30" s="520" t="s">
        <v>518</v>
      </c>
      <c r="C30" s="416">
        <f>IF(AND(C7+C8=0,C10+C11&gt;0),(C4+C5+C6)*C18,0)</f>
        <v>0</v>
      </c>
      <c r="D30" s="620"/>
      <c r="E30" s="621">
        <f t="shared" si="1"/>
        <v>0</v>
      </c>
      <c r="F30" s="508"/>
      <c r="G30" s="508"/>
      <c r="H30" s="508"/>
      <c r="I30" s="508"/>
      <c r="J30" s="508"/>
      <c r="K30" s="508"/>
      <c r="L30" s="474"/>
    </row>
    <row r="31" spans="1:12">
      <c r="A31" s="508"/>
      <c r="B31" s="518" t="s">
        <v>470</v>
      </c>
      <c r="C31" s="411">
        <f>C18</f>
        <v>0</v>
      </c>
      <c r="D31" s="620"/>
      <c r="E31" s="621">
        <f t="shared" si="1"/>
        <v>0</v>
      </c>
      <c r="F31" s="508"/>
      <c r="G31" s="508"/>
      <c r="H31" s="508"/>
      <c r="I31" s="508"/>
      <c r="J31" s="508"/>
      <c r="K31" s="508"/>
      <c r="L31" s="474"/>
    </row>
    <row r="32" spans="1:12">
      <c r="A32" s="508"/>
      <c r="B32" s="518" t="s">
        <v>471</v>
      </c>
      <c r="C32" s="419">
        <f>C18</f>
        <v>0</v>
      </c>
      <c r="D32" s="620"/>
      <c r="E32" s="621">
        <f t="shared" si="1"/>
        <v>0</v>
      </c>
      <c r="F32" s="508"/>
      <c r="G32" s="508"/>
      <c r="H32" s="508"/>
      <c r="I32" s="508"/>
      <c r="J32" s="508"/>
      <c r="K32" s="508"/>
      <c r="L32" s="474"/>
    </row>
    <row r="33" spans="1:12">
      <c r="A33" s="508"/>
      <c r="B33" s="518" t="s">
        <v>448</v>
      </c>
      <c r="C33" s="411">
        <f>C18*2</f>
        <v>0</v>
      </c>
      <c r="D33" s="620"/>
      <c r="E33" s="621">
        <f t="shared" si="1"/>
        <v>0</v>
      </c>
      <c r="F33" s="508"/>
      <c r="G33" s="508"/>
      <c r="H33" s="508"/>
      <c r="I33" s="508"/>
      <c r="J33" s="508"/>
      <c r="K33" s="508"/>
      <c r="L33" s="474"/>
    </row>
    <row r="34" spans="1:12">
      <c r="A34" s="508"/>
      <c r="B34" s="520" t="s">
        <v>452</v>
      </c>
      <c r="C34" s="411">
        <f>IF(C5+C6=0,C46+C49+C58,0)</f>
        <v>0</v>
      </c>
      <c r="D34" s="620"/>
      <c r="E34" s="621">
        <f t="shared" si="1"/>
        <v>0</v>
      </c>
      <c r="F34" s="508"/>
      <c r="G34" s="508"/>
      <c r="H34" s="508"/>
      <c r="I34" s="508"/>
      <c r="J34" s="508"/>
      <c r="K34" s="508"/>
      <c r="L34" s="474"/>
    </row>
    <row r="35" spans="1:12">
      <c r="A35" s="508"/>
      <c r="B35" s="520" t="s">
        <v>453</v>
      </c>
      <c r="C35" s="411">
        <f>IF(AND(C4&gt;0,C5+C6=0),C46+C49+C58+1,0)</f>
        <v>0</v>
      </c>
      <c r="D35" s="620"/>
      <c r="E35" s="621">
        <f t="shared" si="1"/>
        <v>0</v>
      </c>
      <c r="F35" s="508"/>
      <c r="G35" s="508"/>
      <c r="H35" s="508"/>
      <c r="I35" s="508"/>
      <c r="J35" s="508"/>
      <c r="K35" s="508"/>
      <c r="L35" s="474"/>
    </row>
    <row r="36" spans="1:12">
      <c r="A36" s="508"/>
      <c r="B36" s="520" t="s">
        <v>659</v>
      </c>
      <c r="C36" s="411">
        <f>IF(AND(C6&gt;0,C4+C5=0),C46+C49+C58,0)</f>
        <v>0</v>
      </c>
      <c r="D36" s="620"/>
      <c r="E36" s="621">
        <f>C36*D36</f>
        <v>0</v>
      </c>
      <c r="F36" s="508"/>
      <c r="G36" s="508"/>
      <c r="H36" s="508"/>
      <c r="I36" s="508"/>
      <c r="J36" s="508"/>
      <c r="K36" s="508"/>
      <c r="L36" s="474"/>
    </row>
    <row r="37" spans="1:12">
      <c r="A37" s="508"/>
      <c r="B37" s="520" t="s">
        <v>441</v>
      </c>
      <c r="C37" s="411">
        <f>IF(C4=0,(C5+C6)*(C46+C49+C58),0)</f>
        <v>0</v>
      </c>
      <c r="D37" s="620"/>
      <c r="E37" s="621">
        <f t="shared" si="1"/>
        <v>0</v>
      </c>
      <c r="F37" s="508"/>
      <c r="G37" s="508"/>
      <c r="H37" s="508"/>
      <c r="I37" s="508"/>
      <c r="J37" s="508"/>
      <c r="K37" s="508"/>
      <c r="L37" s="474"/>
    </row>
    <row r="38" spans="1:12">
      <c r="A38" s="508"/>
      <c r="B38" s="520" t="s">
        <v>689</v>
      </c>
      <c r="C38" s="411">
        <f>IF(C4+C5+C6&gt;0,C4+C5+C6-1,0)</f>
        <v>0</v>
      </c>
      <c r="D38" s="620"/>
      <c r="E38" s="621">
        <f t="shared" si="1"/>
        <v>0</v>
      </c>
      <c r="F38" s="508"/>
      <c r="G38" s="508"/>
      <c r="H38" s="508"/>
      <c r="I38" s="508"/>
      <c r="J38" s="508"/>
      <c r="K38" s="508"/>
      <c r="L38" s="474"/>
    </row>
    <row r="39" spans="1:12">
      <c r="A39" s="508"/>
      <c r="B39" s="518" t="s">
        <v>481</v>
      </c>
      <c r="C39" s="411">
        <f>C18*C2</f>
        <v>0</v>
      </c>
      <c r="D39" s="620"/>
      <c r="E39" s="621">
        <f t="shared" si="1"/>
        <v>0</v>
      </c>
      <c r="F39" s="508"/>
      <c r="G39" s="508"/>
      <c r="H39" s="508"/>
      <c r="I39" s="508"/>
      <c r="J39" s="508"/>
      <c r="K39" s="508"/>
      <c r="L39" s="474"/>
    </row>
    <row r="40" spans="1:12">
      <c r="A40" s="508"/>
      <c r="B40" s="518" t="s">
        <v>481</v>
      </c>
      <c r="C40" s="416">
        <f>C2*C16*C18</f>
        <v>0</v>
      </c>
      <c r="D40" s="417"/>
      <c r="E40" s="621">
        <f t="shared" si="1"/>
        <v>0</v>
      </c>
      <c r="F40" s="508"/>
      <c r="G40" s="508"/>
      <c r="H40" s="508"/>
      <c r="I40" s="508"/>
      <c r="J40" s="508"/>
      <c r="K40" s="508"/>
      <c r="L40" s="474"/>
    </row>
    <row r="41" spans="1:12">
      <c r="A41" s="508"/>
      <c r="B41" s="520" t="s">
        <v>370</v>
      </c>
      <c r="C41" s="416">
        <f>C15*2*C18</f>
        <v>0</v>
      </c>
      <c r="D41" s="620"/>
      <c r="E41" s="621">
        <f t="shared" si="1"/>
        <v>0</v>
      </c>
      <c r="F41" s="508"/>
      <c r="G41" s="508"/>
      <c r="H41" s="508"/>
      <c r="I41" s="508"/>
      <c r="J41" s="508"/>
      <c r="K41" s="508"/>
      <c r="L41" s="474"/>
    </row>
    <row r="42" spans="1:12">
      <c r="A42" s="508"/>
      <c r="B42" s="520" t="s">
        <v>484</v>
      </c>
      <c r="C42" s="416">
        <f>(C14+C17)*C2*C18</f>
        <v>0</v>
      </c>
      <c r="D42" s="622"/>
      <c r="E42" s="621">
        <f t="shared" si="1"/>
        <v>0</v>
      </c>
      <c r="F42" s="508"/>
      <c r="G42" s="508"/>
      <c r="H42" s="508"/>
      <c r="I42" s="508"/>
      <c r="J42" s="508"/>
      <c r="K42" s="508"/>
      <c r="L42" s="474"/>
    </row>
    <row r="43" spans="1:12">
      <c r="A43" s="508"/>
      <c r="B43" s="520" t="s">
        <v>544</v>
      </c>
      <c r="C43" s="416">
        <f>C17*C2*C18</f>
        <v>0</v>
      </c>
      <c r="D43" s="417"/>
      <c r="E43" s="621">
        <f t="shared" si="1"/>
        <v>0</v>
      </c>
      <c r="F43" s="508"/>
      <c r="G43" s="508"/>
      <c r="H43" s="508"/>
      <c r="I43" s="508"/>
      <c r="J43" s="508"/>
      <c r="K43" s="508"/>
      <c r="L43" s="474"/>
    </row>
    <row r="44" spans="1:12">
      <c r="A44" s="508"/>
      <c r="B44" s="520" t="s">
        <v>371</v>
      </c>
      <c r="C44" s="416">
        <f>C14*C2*C18</f>
        <v>0</v>
      </c>
      <c r="D44" s="417"/>
      <c r="E44" s="621">
        <f t="shared" si="1"/>
        <v>0</v>
      </c>
      <c r="F44" s="522"/>
      <c r="G44" s="508"/>
      <c r="H44" s="508"/>
      <c r="I44" s="508"/>
      <c r="J44" s="508"/>
      <c r="K44" s="508"/>
      <c r="L44" s="474"/>
    </row>
    <row r="45" spans="1:12">
      <c r="A45" s="508"/>
      <c r="B45" s="520" t="s">
        <v>372</v>
      </c>
      <c r="C45" s="423">
        <f>C15*C2*C18</f>
        <v>0</v>
      </c>
      <c r="D45" s="417"/>
      <c r="E45" s="621">
        <f t="shared" si="1"/>
        <v>0</v>
      </c>
      <c r="F45" s="508"/>
      <c r="G45" s="508"/>
      <c r="H45" s="508"/>
      <c r="I45" s="508"/>
      <c r="J45" s="508"/>
      <c r="K45" s="508"/>
      <c r="L45" s="474"/>
    </row>
    <row r="46" spans="1:12">
      <c r="A46" s="508"/>
      <c r="B46" s="520" t="s">
        <v>521</v>
      </c>
      <c r="C46" s="416">
        <f>((C4+C5+C6)-1)*C18</f>
        <v>0</v>
      </c>
      <c r="D46" s="658"/>
      <c r="E46" s="621">
        <f t="shared" si="1"/>
        <v>0</v>
      </c>
      <c r="F46" s="508"/>
      <c r="G46" s="508"/>
      <c r="H46" s="508"/>
      <c r="I46" s="508"/>
      <c r="J46" s="508"/>
      <c r="K46" s="508"/>
      <c r="L46" s="474"/>
    </row>
    <row r="47" spans="1:12" ht="11.25" customHeight="1">
      <c r="A47" s="508"/>
      <c r="B47" s="521" t="s">
        <v>513</v>
      </c>
      <c r="C47" s="468">
        <f>((C4+C5+C6)-1)*C18</f>
        <v>0</v>
      </c>
      <c r="D47" s="658"/>
      <c r="E47" s="621">
        <f t="shared" si="1"/>
        <v>0</v>
      </c>
      <c r="F47" s="508"/>
      <c r="G47" s="508"/>
      <c r="H47" s="508"/>
      <c r="I47" s="508"/>
      <c r="J47" s="508"/>
      <c r="K47" s="508"/>
      <c r="L47" s="474"/>
    </row>
    <row r="48" spans="1:12">
      <c r="A48" s="508"/>
      <c r="B48" s="521" t="s">
        <v>522</v>
      </c>
      <c r="C48" s="468">
        <f>((C4+C5+C6)-1)*C18</f>
        <v>0</v>
      </c>
      <c r="D48" s="658"/>
      <c r="E48" s="621">
        <f t="shared" si="1"/>
        <v>0</v>
      </c>
      <c r="F48" s="508"/>
      <c r="G48" s="508"/>
      <c r="H48" s="508"/>
      <c r="I48" s="508"/>
      <c r="J48" s="508"/>
      <c r="K48" s="508"/>
      <c r="L48" s="474"/>
    </row>
    <row r="49" spans="1:12">
      <c r="A49" s="508"/>
      <c r="B49" s="520" t="s">
        <v>512</v>
      </c>
      <c r="C49" s="416">
        <f>((C4+C5+C6)-1)*C18</f>
        <v>0</v>
      </c>
      <c r="D49" s="658"/>
      <c r="E49" s="621">
        <f t="shared" si="1"/>
        <v>0</v>
      </c>
      <c r="F49" s="508"/>
      <c r="G49" s="508"/>
      <c r="H49" s="508"/>
      <c r="I49" s="508"/>
      <c r="J49" s="508"/>
      <c r="K49" s="508"/>
      <c r="L49" s="474"/>
    </row>
    <row r="50" spans="1:12">
      <c r="A50" s="508"/>
      <c r="B50" s="520" t="s">
        <v>480</v>
      </c>
      <c r="C50" s="416">
        <f>C18*C2*C16</f>
        <v>0</v>
      </c>
      <c r="D50" s="620"/>
      <c r="E50" s="621">
        <f t="shared" si="1"/>
        <v>0</v>
      </c>
      <c r="F50" s="508"/>
      <c r="G50" s="508"/>
      <c r="H50" s="508"/>
      <c r="I50" s="508"/>
      <c r="J50" s="508"/>
      <c r="K50" s="508"/>
      <c r="L50" s="474"/>
    </row>
    <row r="51" spans="1:12">
      <c r="A51" s="508"/>
      <c r="B51" s="518" t="s">
        <v>468</v>
      </c>
      <c r="C51" s="411">
        <f>IF(AND(C4&gt;0,C5+C6=0),C2*C18,0)</f>
        <v>0</v>
      </c>
      <c r="D51" s="620"/>
      <c r="E51" s="621">
        <f t="shared" si="1"/>
        <v>0</v>
      </c>
      <c r="F51" s="508"/>
      <c r="G51" s="508"/>
      <c r="H51" s="508"/>
      <c r="I51" s="508"/>
      <c r="J51" s="508"/>
      <c r="K51" s="508"/>
      <c r="L51" s="474"/>
    </row>
    <row r="52" spans="1:12" ht="12" customHeight="1">
      <c r="A52" s="508"/>
      <c r="B52" s="518" t="s">
        <v>469</v>
      </c>
      <c r="C52" s="411">
        <f>IF(AND(C4+C6=0,C5&gt;0),C2*C18,0)</f>
        <v>0</v>
      </c>
      <c r="D52" s="620"/>
      <c r="E52" s="621">
        <f t="shared" si="1"/>
        <v>0</v>
      </c>
      <c r="F52" s="508"/>
      <c r="G52" s="508"/>
      <c r="H52" s="508"/>
      <c r="I52" s="508"/>
      <c r="J52" s="508"/>
      <c r="K52" s="508"/>
      <c r="L52" s="474"/>
    </row>
    <row r="53" spans="1:12" ht="12" customHeight="1">
      <c r="A53" s="508"/>
      <c r="B53" s="518" t="s">
        <v>608</v>
      </c>
      <c r="C53" s="411">
        <f>IF(AND(C5+C4=0,C6&gt;0),C2*C18,0)</f>
        <v>0</v>
      </c>
      <c r="D53" s="620"/>
      <c r="E53" s="621">
        <f>C53*D53</f>
        <v>0</v>
      </c>
      <c r="F53" s="508"/>
      <c r="G53" s="508"/>
      <c r="H53" s="508"/>
      <c r="I53" s="508"/>
      <c r="J53" s="508"/>
      <c r="K53" s="508"/>
      <c r="L53" s="474"/>
    </row>
    <row r="54" spans="1:12">
      <c r="A54" s="508"/>
      <c r="B54" s="518" t="s">
        <v>449</v>
      </c>
      <c r="C54" s="411">
        <f>C18*2</f>
        <v>0</v>
      </c>
      <c r="D54" s="620"/>
      <c r="E54" s="621">
        <f t="shared" si="1"/>
        <v>0</v>
      </c>
      <c r="F54" s="508"/>
      <c r="G54" s="508"/>
      <c r="H54" s="508"/>
      <c r="I54" s="508"/>
      <c r="J54" s="508"/>
      <c r="K54" s="508"/>
      <c r="L54" s="474"/>
    </row>
    <row r="55" spans="1:12">
      <c r="A55" s="508"/>
      <c r="B55" s="704" t="s">
        <v>490</v>
      </c>
      <c r="C55" s="468">
        <f>C2*C18</f>
        <v>0</v>
      </c>
      <c r="D55" s="623"/>
      <c r="E55" s="621">
        <f t="shared" si="1"/>
        <v>0</v>
      </c>
      <c r="F55" s="508"/>
      <c r="G55" s="508"/>
      <c r="H55" s="508"/>
      <c r="I55" s="508"/>
      <c r="J55" s="508"/>
      <c r="K55" s="508"/>
      <c r="L55" s="474"/>
    </row>
    <row r="56" spans="1:12">
      <c r="A56" s="508"/>
      <c r="B56" s="518" t="s">
        <v>450</v>
      </c>
      <c r="C56" s="411">
        <f>C18*C2</f>
        <v>0</v>
      </c>
      <c r="D56" s="620"/>
      <c r="E56" s="621">
        <f t="shared" si="1"/>
        <v>0</v>
      </c>
      <c r="F56" s="508"/>
      <c r="G56" s="508"/>
      <c r="H56" s="508"/>
      <c r="I56" s="508"/>
      <c r="J56" s="508"/>
      <c r="K56" s="508"/>
      <c r="L56" s="474"/>
    </row>
    <row r="57" spans="1:12">
      <c r="A57" s="508"/>
      <c r="B57" s="518" t="s">
        <v>451</v>
      </c>
      <c r="C57" s="411">
        <f>C18*C2</f>
        <v>0</v>
      </c>
      <c r="D57" s="620"/>
      <c r="E57" s="621">
        <f t="shared" si="1"/>
        <v>0</v>
      </c>
      <c r="F57" s="508"/>
      <c r="G57" s="508"/>
      <c r="H57" s="508"/>
      <c r="I57" s="508"/>
      <c r="J57" s="508"/>
      <c r="K57" s="508"/>
      <c r="L57" s="474"/>
    </row>
    <row r="58" spans="1:12">
      <c r="A58" s="508"/>
      <c r="B58" s="520" t="s">
        <v>430</v>
      </c>
      <c r="C58" s="416">
        <f>C18</f>
        <v>0</v>
      </c>
      <c r="D58" s="620"/>
      <c r="E58" s="621">
        <f t="shared" si="1"/>
        <v>0</v>
      </c>
      <c r="F58" s="508"/>
      <c r="G58" s="508"/>
      <c r="H58" s="508"/>
      <c r="I58" s="508"/>
      <c r="J58" s="508"/>
      <c r="K58" s="508"/>
      <c r="L58" s="474"/>
    </row>
    <row r="59" spans="1:12">
      <c r="A59" s="508"/>
      <c r="B59" s="520" t="s">
        <v>684</v>
      </c>
      <c r="C59" s="416">
        <f>C18*4</f>
        <v>0</v>
      </c>
      <c r="D59" s="620"/>
      <c r="E59" s="621">
        <f t="shared" si="1"/>
        <v>0</v>
      </c>
      <c r="F59" s="508"/>
      <c r="G59" s="508"/>
      <c r="H59" s="508"/>
      <c r="I59" s="508"/>
      <c r="J59" s="508"/>
      <c r="K59" s="508"/>
      <c r="L59" s="474"/>
    </row>
    <row r="60" spans="1:12">
      <c r="A60" s="508"/>
      <c r="B60" s="520" t="s">
        <v>523</v>
      </c>
      <c r="C60" s="416">
        <f>((C4+C5+C6+1)*2)*C18</f>
        <v>0</v>
      </c>
      <c r="D60" s="620"/>
      <c r="E60" s="621">
        <f t="shared" si="1"/>
        <v>0</v>
      </c>
      <c r="F60" s="508"/>
      <c r="G60" s="508"/>
      <c r="H60" s="508"/>
      <c r="I60" s="508"/>
      <c r="J60" s="508"/>
      <c r="K60" s="508"/>
      <c r="L60" s="474"/>
    </row>
    <row r="61" spans="1:12">
      <c r="A61" s="508"/>
      <c r="B61" s="521" t="s">
        <v>609</v>
      </c>
      <c r="C61" s="423">
        <f>C9*C18</f>
        <v>0</v>
      </c>
      <c r="D61" s="417"/>
      <c r="E61" s="413">
        <f t="shared" si="1"/>
        <v>0</v>
      </c>
      <c r="F61" s="508"/>
      <c r="G61" s="508"/>
      <c r="H61" s="508"/>
      <c r="I61" s="508"/>
      <c r="J61" s="508"/>
      <c r="K61" s="508"/>
      <c r="L61" s="474"/>
    </row>
    <row r="62" spans="1:12">
      <c r="A62" s="508"/>
      <c r="B62" s="521" t="s">
        <v>610</v>
      </c>
      <c r="C62" s="423">
        <f>C18*C12</f>
        <v>0</v>
      </c>
      <c r="D62" s="417"/>
      <c r="E62" s="413">
        <f t="shared" si="1"/>
        <v>0</v>
      </c>
      <c r="F62" s="508"/>
      <c r="G62" s="508"/>
      <c r="H62" s="508"/>
      <c r="I62" s="508"/>
      <c r="J62" s="508"/>
      <c r="K62" s="508"/>
      <c r="L62" s="474"/>
    </row>
    <row r="63" spans="1:12">
      <c r="A63" s="508"/>
      <c r="B63" s="521" t="s">
        <v>385</v>
      </c>
      <c r="C63" s="423">
        <f>C7*C18</f>
        <v>0</v>
      </c>
      <c r="D63" s="622"/>
      <c r="E63" s="621">
        <f t="shared" si="1"/>
        <v>0</v>
      </c>
      <c r="F63" s="508"/>
      <c r="G63" s="508"/>
      <c r="H63" s="508"/>
      <c r="I63" s="508"/>
      <c r="J63" s="508"/>
      <c r="K63" s="508"/>
      <c r="L63" s="474"/>
    </row>
    <row r="64" spans="1:12">
      <c r="A64" s="508"/>
      <c r="B64" s="521" t="s">
        <v>605</v>
      </c>
      <c r="C64" s="423">
        <f>C10*C18</f>
        <v>0</v>
      </c>
      <c r="D64" s="622"/>
      <c r="E64" s="621">
        <f t="shared" si="1"/>
        <v>0</v>
      </c>
      <c r="F64" s="508"/>
      <c r="G64" s="508"/>
      <c r="H64" s="508"/>
      <c r="I64" s="508"/>
      <c r="J64" s="508"/>
      <c r="K64" s="508"/>
      <c r="L64" s="474"/>
    </row>
    <row r="65" spans="1:12">
      <c r="A65" s="508"/>
      <c r="B65" s="521" t="s">
        <v>443</v>
      </c>
      <c r="C65" s="423">
        <f>C8*C18</f>
        <v>0</v>
      </c>
      <c r="D65" s="622"/>
      <c r="E65" s="621">
        <f t="shared" si="1"/>
        <v>0</v>
      </c>
      <c r="F65" s="508"/>
      <c r="G65" s="508"/>
      <c r="H65" s="508"/>
      <c r="I65" s="508"/>
      <c r="J65" s="508"/>
      <c r="K65" s="508"/>
      <c r="L65" s="474"/>
    </row>
    <row r="66" spans="1:12">
      <c r="A66" s="508"/>
      <c r="B66" s="594" t="s">
        <v>145</v>
      </c>
      <c r="C66" s="575">
        <f>C20</f>
        <v>0</v>
      </c>
      <c r="D66" s="591"/>
      <c r="E66" s="469">
        <f t="shared" si="1"/>
        <v>0</v>
      </c>
      <c r="F66" s="508"/>
      <c r="G66" s="508"/>
      <c r="H66" s="508"/>
      <c r="I66" s="508"/>
      <c r="J66" s="508"/>
      <c r="K66" s="508"/>
      <c r="L66" s="474"/>
    </row>
    <row r="67" spans="1:12">
      <c r="A67" s="508"/>
      <c r="B67" s="594" t="s">
        <v>148</v>
      </c>
      <c r="C67" s="575">
        <f>C19</f>
        <v>0</v>
      </c>
      <c r="D67" s="591"/>
      <c r="E67" s="469">
        <f t="shared" si="1"/>
        <v>0</v>
      </c>
      <c r="F67" s="508"/>
      <c r="G67" s="508"/>
      <c r="H67" s="508"/>
      <c r="I67" s="508"/>
      <c r="J67" s="508"/>
      <c r="K67" s="508"/>
      <c r="L67" s="474"/>
    </row>
    <row r="68" spans="1:12" ht="12" thickBot="1">
      <c r="A68" s="508"/>
      <c r="B68" s="523" t="s">
        <v>606</v>
      </c>
      <c r="C68" s="471">
        <f>C11*C18</f>
        <v>0</v>
      </c>
      <c r="D68" s="659"/>
      <c r="E68" s="625">
        <f t="shared" si="1"/>
        <v>0</v>
      </c>
      <c r="F68" s="508"/>
      <c r="G68" s="508"/>
      <c r="H68" s="508"/>
      <c r="I68" s="508"/>
      <c r="J68" s="508"/>
      <c r="K68" s="508"/>
      <c r="L68" s="474"/>
    </row>
    <row r="69" spans="1:12" ht="13.5" thickBot="1">
      <c r="A69" s="508"/>
      <c r="B69" s="508"/>
      <c r="C69" s="508"/>
      <c r="D69" s="758" t="s">
        <v>9</v>
      </c>
      <c r="E69" s="596">
        <f>SUMIF(E23:E68,"&gt;0",E23:E68)</f>
        <v>0</v>
      </c>
      <c r="F69" s="508"/>
      <c r="G69" s="508"/>
      <c r="H69" s="508"/>
      <c r="I69" s="508"/>
      <c r="J69" s="508"/>
      <c r="K69" s="508"/>
      <c r="L69" s="474"/>
    </row>
    <row r="70" spans="1:12">
      <c r="A70" s="508"/>
      <c r="B70" s="508"/>
      <c r="C70" s="508"/>
      <c r="D70" s="508"/>
      <c r="E70" s="508"/>
      <c r="F70" s="508"/>
      <c r="G70" s="508"/>
      <c r="H70" s="508"/>
      <c r="I70" s="508"/>
      <c r="J70" s="508"/>
      <c r="K70" s="508"/>
      <c r="L70" s="474"/>
    </row>
    <row r="71" spans="1:12">
      <c r="A71" s="508"/>
      <c r="B71" s="508"/>
      <c r="C71" s="508"/>
      <c r="D71" s="508"/>
      <c r="E71" s="508"/>
      <c r="F71" s="508"/>
      <c r="G71" s="508"/>
      <c r="H71" s="508"/>
      <c r="I71" s="508"/>
      <c r="J71" s="508"/>
      <c r="K71" s="508"/>
      <c r="L71" s="474"/>
    </row>
    <row r="72" spans="1:12" ht="11.25" customHeight="1">
      <c r="A72" s="508"/>
      <c r="B72" s="508"/>
      <c r="C72" s="508"/>
      <c r="D72" s="508"/>
      <c r="E72" s="508"/>
      <c r="F72" s="508"/>
      <c r="G72" s="508"/>
      <c r="H72" s="508"/>
      <c r="I72" s="508"/>
      <c r="J72" s="508"/>
      <c r="K72" s="508"/>
      <c r="L72" s="474"/>
    </row>
    <row r="73" spans="1:12">
      <c r="A73" s="508"/>
      <c r="B73" s="508"/>
      <c r="C73" s="508"/>
      <c r="D73" s="508"/>
      <c r="E73" s="508"/>
      <c r="F73" s="508"/>
      <c r="G73" s="508"/>
      <c r="H73" s="508"/>
      <c r="I73" s="508"/>
      <c r="J73" s="508"/>
      <c r="K73" s="508"/>
      <c r="L73" s="474"/>
    </row>
    <row r="74" spans="1:12">
      <c r="A74" s="508"/>
      <c r="B74" s="508"/>
      <c r="C74" s="508"/>
      <c r="D74" s="508"/>
      <c r="E74" s="508"/>
      <c r="F74" s="508"/>
      <c r="G74" s="508"/>
      <c r="H74" s="508"/>
      <c r="I74" s="508"/>
      <c r="J74" s="508"/>
      <c r="K74" s="508"/>
      <c r="L74" s="474"/>
    </row>
    <row r="75" spans="1:12">
      <c r="A75" s="508"/>
      <c r="B75" s="508"/>
      <c r="C75" s="508"/>
      <c r="D75" s="508"/>
      <c r="E75" s="508"/>
      <c r="F75" s="508"/>
      <c r="G75" s="508"/>
      <c r="H75" s="508"/>
      <c r="I75" s="508"/>
      <c r="J75" s="508"/>
      <c r="K75" s="508"/>
      <c r="L75" s="474"/>
    </row>
    <row r="76" spans="1:12">
      <c r="A76" s="508"/>
      <c r="B76" s="508"/>
      <c r="C76" s="508"/>
      <c r="D76" s="508"/>
      <c r="E76" s="508"/>
      <c r="F76" s="508"/>
      <c r="G76" s="508"/>
      <c r="H76" s="508"/>
      <c r="I76" s="508"/>
      <c r="J76" s="508"/>
      <c r="K76" s="508"/>
      <c r="L76" s="474"/>
    </row>
    <row r="77" spans="1:12" ht="11.25" customHeight="1">
      <c r="A77" s="474"/>
      <c r="B77" s="474"/>
      <c r="C77" s="474"/>
      <c r="D77" s="474"/>
      <c r="E77" s="474"/>
      <c r="F77" s="474"/>
      <c r="G77" s="474"/>
      <c r="H77" s="474"/>
      <c r="I77" s="474"/>
      <c r="J77" s="474"/>
      <c r="K77" s="474"/>
      <c r="L77" s="474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258" priority="92" operator="greaterThan">
      <formula>0</formula>
    </cfRule>
  </conditionalFormatting>
  <conditionalFormatting sqref="C13">
    <cfRule type="cellIs" dxfId="257" priority="91" operator="greaterThan">
      <formula>0</formula>
    </cfRule>
  </conditionalFormatting>
  <conditionalFormatting sqref="C13">
    <cfRule type="cellIs" dxfId="256" priority="90" operator="greaterThan">
      <formula>0</formula>
    </cfRule>
  </conditionalFormatting>
  <conditionalFormatting sqref="J3:J21">
    <cfRule type="cellIs" dxfId="255" priority="25" operator="greaterThan">
      <formula>0</formula>
    </cfRule>
    <cfRule type="cellIs" dxfId="254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53" priority="46" operator="equal">
      <formula>"ДА"</formula>
    </cfRule>
    <cfRule type="cellIs" dxfId="252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51" priority="43" operator="equal">
      <formula>"ДА"</formula>
    </cfRule>
    <cfRule type="cellIs" dxfId="250" priority="44" operator="equal">
      <formula>"НЕТ"</formula>
    </cfRule>
  </conditionalFormatting>
  <conditionalFormatting sqref="I5">
    <cfRule type="cellIs" dxfId="249" priority="40" operator="equal">
      <formula>"ДА"</formula>
    </cfRule>
    <cfRule type="cellIs" dxfId="248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47" priority="36" operator="equal">
      <formula>"ДА"</formula>
    </cfRule>
    <cfRule type="cellIs" dxfId="246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245" priority="32" operator="equal">
      <formula>"ДА"</formula>
    </cfRule>
    <cfRule type="cellIs" dxfId="244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243" priority="30" operator="equal">
      <formula>"ДА"</formula>
    </cfRule>
    <cfRule type="cellIs" dxfId="242" priority="31" operator="equal">
      <formula>"НЕТ"</formula>
    </cfRule>
  </conditionalFormatting>
  <conditionalFormatting sqref="I19:I21">
    <cfRule type="cellIs" dxfId="241" priority="28" operator="equal">
      <formula>"ДА"</formula>
    </cfRule>
    <cfRule type="cellIs" dxfId="240" priority="29" operator="equal">
      <formula>"НЕТ"</formula>
    </cfRule>
  </conditionalFormatting>
  <conditionalFormatting sqref="K3:K21">
    <cfRule type="cellIs" dxfId="239" priority="27" operator="greaterThan">
      <formula>0</formula>
    </cfRule>
  </conditionalFormatting>
  <conditionalFormatting sqref="I15:I21">
    <cfRule type="cellIs" dxfId="238" priority="24" operator="equal">
      <formula>"НЕТ"</formula>
    </cfRule>
  </conditionalFormatting>
  <conditionalFormatting sqref="I3:I21">
    <cfRule type="cellIs" dxfId="237" priority="22" operator="equal">
      <formula>"НЕТ"</formula>
    </cfRule>
    <cfRule type="cellIs" dxfId="236" priority="23" operator="equal">
      <formula>"ДА"</formula>
    </cfRule>
  </conditionalFormatting>
  <conditionalFormatting sqref="I3:I18">
    <cfRule type="cellIs" dxfId="235" priority="21" operator="equal">
      <formula>"ДА"</formula>
    </cfRule>
  </conditionalFormatting>
  <conditionalFormatting sqref="I5">
    <cfRule type="cellIs" dxfId="234" priority="18" operator="equal">
      <formula>"ДА"</formula>
    </cfRule>
    <cfRule type="cellIs" dxfId="233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32" priority="15" operator="equal">
      <formula>"ДА"</formula>
    </cfRule>
    <cfRule type="cellIs" dxfId="231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230" priority="3" operator="greaterThan">
      <formula>0</formula>
    </cfRule>
    <cfRule type="cellIs" dxfId="229" priority="14" operator="greaterThan">
      <formula>0</formula>
    </cfRule>
  </conditionalFormatting>
  <conditionalFormatting sqref="C61:E61">
    <cfRule type="cellIs" dxfId="228" priority="13" operator="greaterThan">
      <formula>0</formula>
    </cfRule>
  </conditionalFormatting>
  <conditionalFormatting sqref="C62:E62">
    <cfRule type="cellIs" dxfId="227" priority="12" operator="greaterThan">
      <formula>0</formula>
    </cfRule>
  </conditionalFormatting>
  <conditionalFormatting sqref="C61:E62">
    <cfRule type="cellIs" dxfId="226" priority="11" operator="greaterThan">
      <formula>0</formula>
    </cfRule>
  </conditionalFormatting>
  <conditionalFormatting sqref="C61:E62">
    <cfRule type="cellIs" dxfId="225" priority="10" operator="greaterThan">
      <formula>0</formula>
    </cfRule>
  </conditionalFormatting>
  <conditionalFormatting sqref="I5">
    <cfRule type="cellIs" dxfId="224" priority="7" operator="equal">
      <formula>"ДА"</formula>
    </cfRule>
    <cfRule type="cellIs" dxfId="223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222" priority="6" operator="greaterThan">
      <formula>0</formula>
    </cfRule>
  </conditionalFormatting>
  <conditionalFormatting sqref="C68:E68 C23:E65">
    <cfRule type="cellIs" dxfId="221" priority="5" operator="greaterThan">
      <formula>0</formula>
    </cfRule>
  </conditionalFormatting>
  <conditionalFormatting sqref="E69">
    <cfRule type="cellIs" dxfId="220" priority="4" operator="greaterThan">
      <formula>0</formula>
    </cfRule>
  </conditionalFormatting>
  <conditionalFormatting sqref="C19:C20">
    <cfRule type="cellIs" dxfId="219" priority="2" operator="greaterThan">
      <formula>0</formula>
    </cfRule>
  </conditionalFormatting>
  <conditionalFormatting sqref="C66:E67">
    <cfRule type="cellIs" dxfId="21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74"/>
      <c r="B1" s="1164"/>
      <c r="C1" s="1165"/>
      <c r="D1" s="1165"/>
      <c r="E1" s="1165"/>
      <c r="F1" s="474"/>
      <c r="G1" s="474"/>
      <c r="H1" s="474"/>
      <c r="I1" s="474"/>
      <c r="J1" s="474"/>
      <c r="K1" s="474"/>
      <c r="L1" s="474"/>
      <c r="M1" s="474"/>
    </row>
    <row r="2" spans="1:13" ht="12" customHeight="1" thickBot="1">
      <c r="A2" s="474"/>
      <c r="B2" s="476" t="s">
        <v>673</v>
      </c>
      <c r="C2" s="527">
        <v>3</v>
      </c>
      <c r="D2" s="1116" t="s">
        <v>602</v>
      </c>
      <c r="E2" s="1117"/>
      <c r="F2" s="1118"/>
      <c r="G2" s="508"/>
      <c r="H2" s="478" t="s">
        <v>492</v>
      </c>
      <c r="I2" s="479" t="s">
        <v>611</v>
      </c>
      <c r="J2" s="545" t="s">
        <v>4</v>
      </c>
      <c r="K2" s="546" t="s">
        <v>8</v>
      </c>
      <c r="L2" s="474"/>
      <c r="M2" s="474"/>
    </row>
    <row r="3" spans="1:13" ht="12" customHeight="1" thickBot="1">
      <c r="A3" s="474"/>
      <c r="B3" s="481" t="s">
        <v>674</v>
      </c>
      <c r="C3" s="659">
        <v>1</v>
      </c>
      <c r="D3" s="1119"/>
      <c r="E3" s="1120"/>
      <c r="F3" s="1121"/>
      <c r="G3" s="508"/>
      <c r="H3" s="482" t="s">
        <v>379</v>
      </c>
      <c r="I3" s="483" t="str">
        <f>IF(AND($C$7=1,$C$5+$C$6+$C$8=0,$C$9=2),"ДА","НЕТ")</f>
        <v>НЕТ</v>
      </c>
      <c r="J3" s="387"/>
      <c r="K3" s="388">
        <f>IF(I3="ДА",$C$10*J3,0)</f>
        <v>0</v>
      </c>
      <c r="L3" s="474"/>
      <c r="M3" s="474"/>
    </row>
    <row r="4" spans="1:13" ht="12" customHeight="1" thickBot="1">
      <c r="A4" s="474"/>
      <c r="B4" s="498" t="s">
        <v>127</v>
      </c>
      <c r="C4" s="663">
        <v>2</v>
      </c>
      <c r="D4" s="1168" t="s">
        <v>128</v>
      </c>
      <c r="E4" s="1169"/>
      <c r="F4" s="1170"/>
      <c r="G4" s="508"/>
      <c r="H4" s="485" t="s">
        <v>380</v>
      </c>
      <c r="I4" s="483" t="str">
        <f>IF(AND($C$7=1,$C$5+$C$6+$C$8=0,$C$9=2),"ДА","НЕТ")</f>
        <v>НЕТ</v>
      </c>
      <c r="J4" s="464"/>
      <c r="K4" s="388">
        <f>IF(I4="ДА",$C$10*J4,0)</f>
        <v>0</v>
      </c>
      <c r="L4" s="474"/>
      <c r="M4" s="474"/>
    </row>
    <row r="5" spans="1:13" ht="12" customHeight="1">
      <c r="A5" s="474"/>
      <c r="B5" s="488" t="s">
        <v>499</v>
      </c>
      <c r="C5" s="672">
        <v>0</v>
      </c>
      <c r="D5" s="491" t="s">
        <v>294</v>
      </c>
      <c r="E5" s="759" t="s">
        <v>256</v>
      </c>
      <c r="F5" s="1125" t="s">
        <v>604</v>
      </c>
      <c r="G5" s="508"/>
      <c r="H5" s="485" t="s">
        <v>381</v>
      </c>
      <c r="I5" s="483" t="str">
        <f>IF(AND($C$7=1,$C$5+$C$6+$C$8=0,$C$9=2),"ДА","НЕТ")</f>
        <v>НЕТ</v>
      </c>
      <c r="J5" s="464"/>
      <c r="K5" s="388">
        <f t="shared" ref="K5:K17" si="0">IF(I5="ДА",$C$10*J5,0)</f>
        <v>0</v>
      </c>
      <c r="L5" s="474"/>
      <c r="M5" s="474"/>
    </row>
    <row r="6" spans="1:13" ht="12" customHeight="1">
      <c r="A6" s="474"/>
      <c r="B6" s="486" t="s">
        <v>500</v>
      </c>
      <c r="C6" s="671">
        <v>1</v>
      </c>
      <c r="D6" s="493" t="s">
        <v>294</v>
      </c>
      <c r="E6" s="713" t="s">
        <v>256</v>
      </c>
      <c r="F6" s="1125"/>
      <c r="G6" s="508"/>
      <c r="H6" s="487" t="s">
        <v>383</v>
      </c>
      <c r="I6" s="483" t="str">
        <f>IF(AND($C$7=1,$C$5+$C$6+$C$8=0,$C$9=3),"ДА","НЕТ")</f>
        <v>НЕТ</v>
      </c>
      <c r="J6" s="391"/>
      <c r="K6" s="388">
        <f t="shared" si="0"/>
        <v>0</v>
      </c>
      <c r="L6" s="474"/>
      <c r="M6" s="474"/>
    </row>
    <row r="7" spans="1:13" ht="12" customHeight="1">
      <c r="A7" s="474"/>
      <c r="B7" s="486" t="s">
        <v>497</v>
      </c>
      <c r="C7" s="671">
        <v>0</v>
      </c>
      <c r="D7" s="493" t="s">
        <v>294</v>
      </c>
      <c r="E7" s="713" t="s">
        <v>256</v>
      </c>
      <c r="F7" s="1125"/>
      <c r="G7" s="508"/>
      <c r="H7" s="485" t="s">
        <v>496</v>
      </c>
      <c r="I7" s="483" t="str">
        <f>IF(AND($C$8=1,$C$5+$C$6+$C$7=0,$C$9=1),"ДА","НЕТ")</f>
        <v>НЕТ</v>
      </c>
      <c r="J7" s="464"/>
      <c r="K7" s="388">
        <f t="shared" si="0"/>
        <v>0</v>
      </c>
      <c r="L7" s="474"/>
      <c r="M7" s="474"/>
    </row>
    <row r="8" spans="1:13" ht="12" customHeight="1" thickBot="1">
      <c r="A8" s="474"/>
      <c r="B8" s="509" t="s">
        <v>498</v>
      </c>
      <c r="C8" s="670">
        <v>0</v>
      </c>
      <c r="D8" s="496" t="s">
        <v>294</v>
      </c>
      <c r="E8" s="500" t="s">
        <v>256</v>
      </c>
      <c r="F8" s="1126"/>
      <c r="G8" s="508"/>
      <c r="H8" s="487" t="s">
        <v>493</v>
      </c>
      <c r="I8" s="483" t="str">
        <f>IF(AND($C$8=1,$C$5+$C$6+$C$7=0,$C$9=3),"ДА","НЕТ")</f>
        <v>НЕТ</v>
      </c>
      <c r="J8" s="391"/>
      <c r="K8" s="388">
        <f t="shared" si="0"/>
        <v>0</v>
      </c>
      <c r="L8" s="474"/>
      <c r="M8" s="474"/>
    </row>
    <row r="9" spans="1:13" ht="12" customHeight="1" thickBot="1">
      <c r="A9" s="474"/>
      <c r="B9" s="498" t="s">
        <v>596</v>
      </c>
      <c r="C9" s="662">
        <v>0</v>
      </c>
      <c r="D9" s="502" t="s">
        <v>626</v>
      </c>
      <c r="E9" s="503" t="s">
        <v>627</v>
      </c>
      <c r="F9" s="505" t="s">
        <v>628</v>
      </c>
      <c r="G9" s="508"/>
      <c r="H9" s="487" t="s">
        <v>494</v>
      </c>
      <c r="I9" s="483" t="str">
        <f>IF(AND($C$8=1,$C$5+$C$6+$C$7=0,$C$9=2),"ДА","НЕТ")</f>
        <v>НЕТ</v>
      </c>
      <c r="J9" s="391"/>
      <c r="K9" s="388">
        <f t="shared" si="0"/>
        <v>0</v>
      </c>
      <c r="L9" s="474"/>
      <c r="M9" s="474"/>
    </row>
    <row r="10" spans="1:13" ht="12" customHeight="1" thickBot="1">
      <c r="A10" s="474"/>
      <c r="B10" s="488" t="s">
        <v>123</v>
      </c>
      <c r="C10" s="664">
        <v>1</v>
      </c>
      <c r="D10" s="1168" t="s">
        <v>682</v>
      </c>
      <c r="E10" s="1169"/>
      <c r="F10" s="1170"/>
      <c r="G10" s="508"/>
      <c r="H10" s="487" t="s">
        <v>495</v>
      </c>
      <c r="I10" s="483" t="str">
        <f>IF(AND($C$8=1,$C$5+$C$6+$C$7=0,$C$9=2),"ДА","НЕТ")</f>
        <v>НЕТ</v>
      </c>
      <c r="J10" s="391"/>
      <c r="K10" s="388">
        <f t="shared" si="0"/>
        <v>0</v>
      </c>
      <c r="L10" s="474"/>
      <c r="M10" s="474"/>
    </row>
    <row r="11" spans="1:13" ht="12" customHeight="1" thickBot="1">
      <c r="A11" s="474"/>
      <c r="B11" s="498" t="s">
        <v>365</v>
      </c>
      <c r="C11" s="662">
        <v>0</v>
      </c>
      <c r="D11" s="502" t="s">
        <v>366</v>
      </c>
      <c r="E11" s="505" t="s">
        <v>367</v>
      </c>
      <c r="F11" s="698"/>
      <c r="G11" s="508"/>
      <c r="H11" s="487" t="s">
        <v>501</v>
      </c>
      <c r="I11" s="483" t="str">
        <f>IF(AND($C$8=1,$C$5+$C$6+$C$7=0,$C$9=2),"ДА","НЕТ")</f>
        <v>НЕТ</v>
      </c>
      <c r="J11" s="391"/>
      <c r="K11" s="388">
        <f t="shared" si="0"/>
        <v>0</v>
      </c>
      <c r="L11" s="474"/>
      <c r="M11" s="474"/>
    </row>
    <row r="12" spans="1:13" ht="12" customHeight="1" thickBot="1">
      <c r="A12" s="474"/>
      <c r="B12" s="760" t="s">
        <v>509</v>
      </c>
      <c r="C12" s="665">
        <v>0</v>
      </c>
      <c r="D12" s="1168" t="s">
        <v>547</v>
      </c>
      <c r="E12" s="1169"/>
      <c r="F12" s="1170"/>
      <c r="G12" s="508"/>
      <c r="H12" s="482" t="s">
        <v>388</v>
      </c>
      <c r="I12" s="483" t="str">
        <f>IF(AND($C$5=1,$C$8+$C$7+$C$6=0,$C$9=1),"ДА","НЕТ")</f>
        <v>НЕТ</v>
      </c>
      <c r="J12" s="394"/>
      <c r="K12" s="388">
        <f t="shared" si="0"/>
        <v>0</v>
      </c>
      <c r="L12" s="474"/>
      <c r="M12" s="474"/>
    </row>
    <row r="13" spans="1:13" ht="12" customHeight="1">
      <c r="A13" s="474"/>
      <c r="B13" s="476" t="s">
        <v>404</v>
      </c>
      <c r="C13" s="666">
        <v>0</v>
      </c>
      <c r="D13" s="489" t="s">
        <v>294</v>
      </c>
      <c r="E13" s="694" t="s">
        <v>256</v>
      </c>
      <c r="F13" s="1137" t="s">
        <v>604</v>
      </c>
      <c r="G13" s="508"/>
      <c r="H13" s="482" t="s">
        <v>389</v>
      </c>
      <c r="I13" s="483" t="str">
        <f>IF(AND($C$5=1,$C$8+$C$7+$C$6=0,$C$9=3),"ДА","НЕТ")</f>
        <v>НЕТ</v>
      </c>
      <c r="J13" s="394"/>
      <c r="K13" s="388">
        <f t="shared" si="0"/>
        <v>0</v>
      </c>
      <c r="L13" s="474"/>
      <c r="M13" s="474"/>
    </row>
    <row r="14" spans="1:13" ht="12" customHeight="1" thickBot="1">
      <c r="A14" s="474"/>
      <c r="B14" s="481" t="s">
        <v>405</v>
      </c>
      <c r="C14" s="667">
        <v>0</v>
      </c>
      <c r="D14" s="496" t="s">
        <v>294</v>
      </c>
      <c r="E14" s="500" t="s">
        <v>256</v>
      </c>
      <c r="F14" s="1138"/>
      <c r="G14" s="508"/>
      <c r="H14" s="482" t="s">
        <v>390</v>
      </c>
      <c r="I14" s="483" t="str">
        <f>IF(AND($C$6=1,$C$7+$C$8+$C$5=0,$C$9=1),"ДА","НЕТ")</f>
        <v>НЕТ</v>
      </c>
      <c r="J14" s="394"/>
      <c r="K14" s="388">
        <f t="shared" si="0"/>
        <v>0</v>
      </c>
      <c r="L14" s="474"/>
      <c r="M14" s="474"/>
    </row>
    <row r="15" spans="1:13" ht="12" customHeight="1">
      <c r="A15" s="474"/>
      <c r="B15" s="476" t="s">
        <v>147</v>
      </c>
      <c r="C15" s="533">
        <v>0</v>
      </c>
      <c r="D15" s="1127" t="s">
        <v>693</v>
      </c>
      <c r="E15" s="1128"/>
      <c r="F15" s="1129"/>
      <c r="G15" s="508"/>
      <c r="H15" s="485" t="s">
        <v>391</v>
      </c>
      <c r="I15" s="483" t="str">
        <f>IF(AND($C$6=1,$C$7+$C$8+$C$5=0,$C$9=1),"ДА","НЕТ")</f>
        <v>НЕТ</v>
      </c>
      <c r="J15" s="394"/>
      <c r="K15" s="388">
        <f t="shared" si="0"/>
        <v>0</v>
      </c>
      <c r="L15" s="474"/>
      <c r="M15" s="474"/>
    </row>
    <row r="16" spans="1:13" ht="12" customHeight="1">
      <c r="A16" s="474"/>
      <c r="B16" s="486" t="s">
        <v>146</v>
      </c>
      <c r="C16" s="530">
        <v>0</v>
      </c>
      <c r="D16" s="1130" t="s">
        <v>694</v>
      </c>
      <c r="E16" s="1131"/>
      <c r="F16" s="1132"/>
      <c r="G16" s="508"/>
      <c r="H16" s="482" t="s">
        <v>395</v>
      </c>
      <c r="I16" s="483" t="str">
        <f>IF(AND($C$6=1,$C$7+$C$8+$C$5=0,$C$9=2),"ДА","НЕТ")</f>
        <v>НЕТ</v>
      </c>
      <c r="J16" s="394"/>
      <c r="K16" s="388">
        <f t="shared" si="0"/>
        <v>0</v>
      </c>
      <c r="L16" s="474"/>
      <c r="M16" s="474"/>
    </row>
    <row r="17" spans="1:13" ht="12" customHeight="1" thickBot="1">
      <c r="A17" s="474"/>
      <c r="B17" s="481" t="s">
        <v>143</v>
      </c>
      <c r="C17" s="532">
        <v>0</v>
      </c>
      <c r="D17" s="1133" t="s">
        <v>695</v>
      </c>
      <c r="E17" s="1134"/>
      <c r="F17" s="1135"/>
      <c r="G17" s="508"/>
      <c r="H17" s="506" t="s">
        <v>396</v>
      </c>
      <c r="I17" s="507" t="str">
        <f>IF(AND($C$6=1,$C$7+$C$8+$C$5=0,$C$9=2),"ДА","НЕТ")</f>
        <v>НЕТ</v>
      </c>
      <c r="J17" s="401"/>
      <c r="K17" s="544">
        <f t="shared" si="0"/>
        <v>0</v>
      </c>
      <c r="L17" s="474"/>
      <c r="M17" s="474"/>
    </row>
    <row r="18" spans="1:13" s="88" customFormat="1" ht="12" customHeight="1" thickBot="1">
      <c r="A18" s="709"/>
      <c r="B18" s="708"/>
      <c r="C18" s="708"/>
      <c r="D18" s="708"/>
      <c r="E18" s="512"/>
      <c r="F18" s="512"/>
      <c r="G18" s="512"/>
      <c r="H18" s="633"/>
      <c r="I18" s="634"/>
      <c r="J18" s="405"/>
      <c r="K18" s="406"/>
      <c r="L18" s="709"/>
      <c r="M18" s="709"/>
    </row>
    <row r="19" spans="1:13" ht="12" customHeight="1" thickBot="1">
      <c r="A19" s="474"/>
      <c r="B19" s="761" t="s">
        <v>5</v>
      </c>
      <c r="C19" s="762" t="s">
        <v>0</v>
      </c>
      <c r="D19" s="763" t="s">
        <v>4</v>
      </c>
      <c r="E19" s="764" t="s">
        <v>8</v>
      </c>
      <c r="F19" s="508"/>
      <c r="G19" s="508"/>
      <c r="H19" s="508"/>
      <c r="I19" s="508"/>
      <c r="J19" s="508"/>
      <c r="K19" s="508"/>
      <c r="L19" s="474"/>
      <c r="M19" s="474"/>
    </row>
    <row r="20" spans="1:13" ht="12" customHeight="1">
      <c r="A20" s="474"/>
      <c r="B20" s="765" t="s">
        <v>408</v>
      </c>
      <c r="C20" s="668">
        <f>C2*C10</f>
        <v>3</v>
      </c>
      <c r="D20" s="661"/>
      <c r="E20" s="669">
        <f>C20*D20</f>
        <v>0</v>
      </c>
      <c r="F20" s="508"/>
      <c r="G20" s="508"/>
      <c r="H20" s="508"/>
      <c r="I20" s="508"/>
      <c r="J20" s="508"/>
      <c r="K20" s="508"/>
      <c r="L20" s="474"/>
      <c r="M20" s="474"/>
    </row>
    <row r="21" spans="1:13" ht="12" customHeight="1">
      <c r="A21" s="474"/>
      <c r="B21" s="520" t="s">
        <v>409</v>
      </c>
      <c r="C21" s="416">
        <f>IF(C14=1,C2*C10,0)</f>
        <v>0</v>
      </c>
      <c r="D21" s="622"/>
      <c r="E21" s="413">
        <f>C21*D21</f>
        <v>0</v>
      </c>
      <c r="F21" s="508"/>
      <c r="G21" s="508"/>
      <c r="H21" s="508"/>
      <c r="I21" s="508"/>
      <c r="J21" s="508"/>
      <c r="K21" s="508"/>
      <c r="L21" s="474"/>
      <c r="M21" s="474"/>
    </row>
    <row r="22" spans="1:13" ht="12" customHeight="1">
      <c r="A22" s="474"/>
      <c r="B22" s="518" t="s">
        <v>406</v>
      </c>
      <c r="C22" s="411">
        <f>IF(AND(C13=1,C14=0),(C4*C10)*2,0)</f>
        <v>0</v>
      </c>
      <c r="D22" s="622"/>
      <c r="E22" s="413">
        <f>C22*D22</f>
        <v>0</v>
      </c>
      <c r="F22" s="508"/>
      <c r="G22" s="508"/>
      <c r="H22" s="508"/>
      <c r="I22" s="508"/>
      <c r="J22" s="766"/>
      <c r="K22" s="508"/>
      <c r="L22" s="474"/>
      <c r="M22" s="474"/>
    </row>
    <row r="23" spans="1:13" ht="12" customHeight="1">
      <c r="A23" s="474"/>
      <c r="B23" s="518" t="s">
        <v>407</v>
      </c>
      <c r="C23" s="411">
        <f>IF(AND(C13=0,C14=1),C4*C10,0)</f>
        <v>0</v>
      </c>
      <c r="D23" s="622"/>
      <c r="E23" s="413">
        <f>C23*D23</f>
        <v>0</v>
      </c>
      <c r="F23" s="508"/>
      <c r="G23" s="508"/>
      <c r="H23" s="508"/>
      <c r="I23" s="508"/>
      <c r="J23" s="508"/>
      <c r="K23" s="508"/>
      <c r="L23" s="474"/>
      <c r="M23" s="474"/>
    </row>
    <row r="24" spans="1:13" ht="12" customHeight="1">
      <c r="A24" s="474"/>
      <c r="B24" s="520" t="s">
        <v>454</v>
      </c>
      <c r="C24" s="416">
        <f>IF(C11=0,C10*2,0)</f>
        <v>2</v>
      </c>
      <c r="D24" s="422"/>
      <c r="E24" s="413">
        <f t="shared" ref="E24:E58" si="1">C24*D24</f>
        <v>0</v>
      </c>
      <c r="F24" s="508"/>
      <c r="G24" s="508"/>
      <c r="H24" s="508"/>
      <c r="I24" s="508"/>
      <c r="J24" s="508"/>
      <c r="K24" s="508"/>
      <c r="L24" s="474"/>
      <c r="M24" s="474"/>
    </row>
    <row r="25" spans="1:13" ht="12" customHeight="1">
      <c r="A25" s="474"/>
      <c r="B25" s="520" t="s">
        <v>510</v>
      </c>
      <c r="C25" s="416">
        <f>IF(C11=0,((C4-1)+C12)*C10,0)</f>
        <v>1</v>
      </c>
      <c r="D25" s="422"/>
      <c r="E25" s="413">
        <f t="shared" si="1"/>
        <v>0</v>
      </c>
      <c r="F25" s="508"/>
      <c r="G25" s="508"/>
      <c r="H25" s="508"/>
      <c r="I25" s="508"/>
      <c r="J25" s="508"/>
      <c r="K25" s="508"/>
      <c r="L25" s="474"/>
      <c r="M25" s="474"/>
    </row>
    <row r="26" spans="1:13" ht="12" customHeight="1">
      <c r="A26" s="474"/>
      <c r="B26" s="520" t="s">
        <v>531</v>
      </c>
      <c r="C26" s="416">
        <f>IF(C11=1,C10*2,0)</f>
        <v>0</v>
      </c>
      <c r="D26" s="422"/>
      <c r="E26" s="413">
        <f>C26*D26</f>
        <v>0</v>
      </c>
      <c r="F26" s="508"/>
      <c r="G26" s="508"/>
      <c r="H26" s="508"/>
      <c r="I26" s="508"/>
      <c r="J26" s="508"/>
      <c r="K26" s="508"/>
      <c r="L26" s="474"/>
      <c r="M26" s="474"/>
    </row>
    <row r="27" spans="1:13" ht="12" customHeight="1">
      <c r="A27" s="474"/>
      <c r="B27" s="520" t="s">
        <v>549</v>
      </c>
      <c r="C27" s="416">
        <f>IF(C11=1,((C4-1)+C12)*C10,0)</f>
        <v>0</v>
      </c>
      <c r="D27" s="422"/>
      <c r="E27" s="413">
        <f>C27*D27</f>
        <v>0</v>
      </c>
      <c r="F27" s="508"/>
      <c r="G27" s="508"/>
      <c r="H27" s="508"/>
      <c r="I27" s="508"/>
      <c r="J27" s="508"/>
      <c r="K27" s="508"/>
      <c r="L27" s="474"/>
      <c r="M27" s="474"/>
    </row>
    <row r="28" spans="1:13" ht="12" customHeight="1">
      <c r="A28" s="474"/>
      <c r="B28" s="520" t="s">
        <v>616</v>
      </c>
      <c r="C28" s="416">
        <f>IF(C11=0,C10*2,0)</f>
        <v>2</v>
      </c>
      <c r="D28" s="422"/>
      <c r="E28" s="413">
        <f t="shared" si="1"/>
        <v>0</v>
      </c>
      <c r="F28" s="508"/>
      <c r="G28" s="508"/>
      <c r="H28" s="508"/>
      <c r="I28" s="508"/>
      <c r="J28" s="508"/>
      <c r="K28" s="508"/>
      <c r="L28" s="474"/>
      <c r="M28" s="474"/>
    </row>
    <row r="29" spans="1:13" ht="12" customHeight="1">
      <c r="A29" s="474"/>
      <c r="B29" s="520" t="s">
        <v>621</v>
      </c>
      <c r="C29" s="416">
        <f>IF(C11=1,C10*2,0)</f>
        <v>0</v>
      </c>
      <c r="D29" s="422"/>
      <c r="E29" s="413">
        <f>C29*D29</f>
        <v>0</v>
      </c>
      <c r="F29" s="508"/>
      <c r="G29" s="508"/>
      <c r="H29" s="508"/>
      <c r="I29" s="508"/>
      <c r="J29" s="508"/>
      <c r="K29" s="508"/>
      <c r="L29" s="474"/>
      <c r="M29" s="474"/>
    </row>
    <row r="30" spans="1:13" ht="12" customHeight="1">
      <c r="A30" s="474"/>
      <c r="B30" s="518" t="s">
        <v>481</v>
      </c>
      <c r="C30" s="411">
        <f>C2*C10*(C5+C7)</f>
        <v>0</v>
      </c>
      <c r="D30" s="465"/>
      <c r="E30" s="413">
        <f t="shared" si="1"/>
        <v>0</v>
      </c>
      <c r="F30" s="508"/>
      <c r="G30" s="508"/>
      <c r="H30" s="508"/>
      <c r="I30" s="508"/>
      <c r="J30" s="508"/>
      <c r="K30" s="508"/>
      <c r="L30" s="474"/>
      <c r="M30" s="474"/>
    </row>
    <row r="31" spans="1:13" ht="12" customHeight="1">
      <c r="A31" s="474"/>
      <c r="B31" s="520" t="s">
        <v>487</v>
      </c>
      <c r="C31" s="416">
        <f>C2*C10*(C6+C8)</f>
        <v>3</v>
      </c>
      <c r="D31" s="422"/>
      <c r="E31" s="413">
        <f t="shared" si="1"/>
        <v>0</v>
      </c>
      <c r="F31" s="508"/>
      <c r="G31" s="508"/>
      <c r="H31" s="508"/>
      <c r="I31" s="508"/>
      <c r="J31" s="508"/>
      <c r="K31" s="508"/>
      <c r="L31" s="474"/>
      <c r="M31" s="474"/>
    </row>
    <row r="32" spans="1:13" ht="12" customHeight="1">
      <c r="A32" s="474"/>
      <c r="B32" s="520" t="s">
        <v>484</v>
      </c>
      <c r="C32" s="416">
        <f>C2*C10</f>
        <v>3</v>
      </c>
      <c r="D32" s="622"/>
      <c r="E32" s="621">
        <f t="shared" si="1"/>
        <v>0</v>
      </c>
      <c r="F32" s="508"/>
      <c r="G32" s="508"/>
      <c r="H32" s="508"/>
      <c r="I32" s="508"/>
      <c r="J32" s="508"/>
      <c r="K32" s="508"/>
      <c r="L32" s="474"/>
      <c r="M32" s="474"/>
    </row>
    <row r="33" spans="1:13" ht="12" customHeight="1">
      <c r="A33" s="474"/>
      <c r="B33" s="518" t="s">
        <v>458</v>
      </c>
      <c r="C33" s="411">
        <f>C2*C10*(C5+C7)</f>
        <v>0</v>
      </c>
      <c r="D33" s="465"/>
      <c r="E33" s="413">
        <f t="shared" si="1"/>
        <v>0</v>
      </c>
      <c r="F33" s="508"/>
      <c r="G33" s="508"/>
      <c r="H33" s="508"/>
      <c r="I33" s="508"/>
      <c r="J33" s="508"/>
      <c r="K33" s="508"/>
      <c r="L33" s="474"/>
      <c r="M33" s="474"/>
    </row>
    <row r="34" spans="1:13" ht="12" customHeight="1">
      <c r="A34" s="474"/>
      <c r="B34" s="518" t="s">
        <v>457</v>
      </c>
      <c r="C34" s="411">
        <f>C2*C10*(C6+C8)</f>
        <v>3</v>
      </c>
      <c r="D34" s="465"/>
      <c r="E34" s="413">
        <f>C34*D34</f>
        <v>0</v>
      </c>
      <c r="F34" s="508"/>
      <c r="G34" s="508"/>
      <c r="H34" s="508"/>
      <c r="I34" s="508"/>
      <c r="J34" s="508"/>
      <c r="K34" s="508"/>
      <c r="L34" s="474"/>
      <c r="M34" s="474"/>
    </row>
    <row r="35" spans="1:13" ht="12" customHeight="1">
      <c r="A35" s="474"/>
      <c r="B35" s="520" t="s">
        <v>374</v>
      </c>
      <c r="C35" s="416">
        <f>C10*(C5+C7)</f>
        <v>0</v>
      </c>
      <c r="D35" s="422"/>
      <c r="E35" s="413">
        <f t="shared" si="1"/>
        <v>0</v>
      </c>
      <c r="F35" s="508"/>
      <c r="G35" s="508"/>
      <c r="H35" s="508"/>
      <c r="I35" s="508"/>
      <c r="J35" s="508"/>
      <c r="K35" s="508"/>
      <c r="L35" s="474"/>
      <c r="M35" s="474"/>
    </row>
    <row r="36" spans="1:13" ht="12" customHeight="1">
      <c r="A36" s="474"/>
      <c r="B36" s="520" t="s">
        <v>735</v>
      </c>
      <c r="C36" s="416">
        <f>C10*(C6+C8)</f>
        <v>1</v>
      </c>
      <c r="D36" s="422"/>
      <c r="E36" s="413">
        <f t="shared" si="1"/>
        <v>0</v>
      </c>
      <c r="F36" s="508"/>
      <c r="G36" s="508"/>
      <c r="H36" s="508"/>
      <c r="I36" s="508"/>
      <c r="J36" s="508"/>
      <c r="K36" s="508"/>
      <c r="L36" s="474"/>
      <c r="M36" s="474"/>
    </row>
    <row r="37" spans="1:13" ht="12" customHeight="1">
      <c r="A37" s="474"/>
      <c r="B37" s="520" t="s">
        <v>734</v>
      </c>
      <c r="C37" s="416">
        <f>C10*(C4*2-2)*(C6+C8)</f>
        <v>2</v>
      </c>
      <c r="D37" s="422"/>
      <c r="E37" s="638">
        <f>C37*D37</f>
        <v>0</v>
      </c>
      <c r="F37" s="508"/>
      <c r="G37" s="508"/>
      <c r="H37" s="508"/>
      <c r="I37" s="508"/>
      <c r="J37" s="508"/>
      <c r="K37" s="508"/>
      <c r="L37" s="474"/>
      <c r="M37" s="474"/>
    </row>
    <row r="38" spans="1:13" ht="12" customHeight="1">
      <c r="A38" s="474"/>
      <c r="B38" s="520" t="s">
        <v>511</v>
      </c>
      <c r="C38" s="416">
        <f>(C4-1)*C10</f>
        <v>1</v>
      </c>
      <c r="D38" s="422"/>
      <c r="E38" s="413">
        <f t="shared" si="1"/>
        <v>0</v>
      </c>
      <c r="F38" s="508"/>
      <c r="G38" s="508"/>
      <c r="H38" s="508"/>
      <c r="I38" s="508"/>
      <c r="J38" s="508"/>
      <c r="K38" s="508"/>
      <c r="L38" s="474"/>
      <c r="M38" s="474"/>
    </row>
    <row r="39" spans="1:13" ht="12" customHeight="1">
      <c r="A39" s="474"/>
      <c r="B39" s="520" t="s">
        <v>512</v>
      </c>
      <c r="C39" s="416">
        <f>(C4-1)*C10</f>
        <v>1</v>
      </c>
      <c r="D39" s="422"/>
      <c r="E39" s="413">
        <f t="shared" si="1"/>
        <v>0</v>
      </c>
      <c r="F39" s="508"/>
      <c r="G39" s="508"/>
      <c r="H39" s="508"/>
      <c r="I39" s="508"/>
      <c r="J39" s="508"/>
      <c r="K39" s="508"/>
      <c r="L39" s="474"/>
      <c r="M39" s="474"/>
    </row>
    <row r="40" spans="1:13" ht="12" customHeight="1">
      <c r="A40" s="474"/>
      <c r="B40" s="520" t="s">
        <v>836</v>
      </c>
      <c r="C40" s="416">
        <f>C10</f>
        <v>1</v>
      </c>
      <c r="D40" s="422"/>
      <c r="E40" s="413">
        <f t="shared" si="1"/>
        <v>0</v>
      </c>
      <c r="F40" s="508"/>
      <c r="G40" s="508"/>
      <c r="H40" s="508"/>
      <c r="I40" s="508"/>
      <c r="J40" s="508"/>
      <c r="K40" s="508"/>
      <c r="L40" s="474"/>
      <c r="M40" s="474"/>
    </row>
    <row r="41" spans="1:13" ht="12" customHeight="1">
      <c r="A41" s="474"/>
      <c r="B41" s="521" t="s">
        <v>513</v>
      </c>
      <c r="C41" s="468">
        <f>(C4-1+C12)*C10</f>
        <v>1</v>
      </c>
      <c r="D41" s="422"/>
      <c r="E41" s="469">
        <f t="shared" si="1"/>
        <v>0</v>
      </c>
      <c r="F41" s="508"/>
      <c r="G41" s="508"/>
      <c r="H41" s="508"/>
      <c r="I41" s="508"/>
      <c r="J41" s="508"/>
      <c r="K41" s="508"/>
      <c r="L41" s="474"/>
      <c r="M41" s="474"/>
    </row>
    <row r="42" spans="1:13" ht="12" customHeight="1">
      <c r="A42" s="474"/>
      <c r="B42" s="520" t="s">
        <v>375</v>
      </c>
      <c r="C42" s="416">
        <f>(C24+C25+C26+C27)*2</f>
        <v>6</v>
      </c>
      <c r="D42" s="622"/>
      <c r="E42" s="638">
        <f t="shared" si="1"/>
        <v>0</v>
      </c>
      <c r="F42" s="767"/>
      <c r="G42" s="508"/>
      <c r="H42" s="508"/>
      <c r="I42" s="508"/>
      <c r="J42" s="508"/>
      <c r="K42" s="508"/>
      <c r="L42" s="474"/>
      <c r="M42" s="474"/>
    </row>
    <row r="43" spans="1:13" ht="12" customHeight="1">
      <c r="A43" s="474"/>
      <c r="B43" s="518" t="s">
        <v>624</v>
      </c>
      <c r="C43" s="411">
        <f>C2*C10</f>
        <v>3</v>
      </c>
      <c r="D43" s="465"/>
      <c r="E43" s="413">
        <f t="shared" si="1"/>
        <v>0</v>
      </c>
      <c r="F43" s="508"/>
      <c r="G43" s="508"/>
      <c r="H43" s="508"/>
      <c r="I43" s="508"/>
      <c r="J43" s="508"/>
      <c r="K43" s="508"/>
      <c r="L43" s="474"/>
      <c r="M43" s="474"/>
    </row>
    <row r="44" spans="1:13" ht="12" customHeight="1">
      <c r="A44" s="474"/>
      <c r="B44" s="521" t="s">
        <v>514</v>
      </c>
      <c r="C44" s="468">
        <f>(C4-1+C12)*C10</f>
        <v>1</v>
      </c>
      <c r="D44" s="422"/>
      <c r="E44" s="469">
        <f t="shared" si="1"/>
        <v>0</v>
      </c>
      <c r="F44" s="508"/>
      <c r="G44" s="508"/>
      <c r="H44" s="508"/>
      <c r="I44" s="508"/>
      <c r="J44" s="508"/>
      <c r="K44" s="508"/>
      <c r="L44" s="474"/>
      <c r="M44" s="474"/>
    </row>
    <row r="45" spans="1:13" ht="12" customHeight="1">
      <c r="A45" s="474"/>
      <c r="B45" s="521" t="s">
        <v>515</v>
      </c>
      <c r="C45" s="468">
        <f>C12*C10</f>
        <v>0</v>
      </c>
      <c r="D45" s="422"/>
      <c r="E45" s="469">
        <f t="shared" si="1"/>
        <v>0</v>
      </c>
      <c r="F45" s="768"/>
      <c r="G45" s="508"/>
      <c r="H45" s="508"/>
      <c r="I45" s="508"/>
      <c r="J45" s="508"/>
      <c r="K45" s="508"/>
      <c r="L45" s="474"/>
      <c r="M45" s="474"/>
    </row>
    <row r="46" spans="1:13" ht="12" customHeight="1">
      <c r="A46" s="474"/>
      <c r="B46" s="520" t="s">
        <v>486</v>
      </c>
      <c r="C46" s="416">
        <f>EVEN(ROUNDDOWN(IF(C4&gt;0,(C2/0.5)*C10,0),0))</f>
        <v>6</v>
      </c>
      <c r="D46" s="417"/>
      <c r="E46" s="413">
        <f t="shared" si="1"/>
        <v>0</v>
      </c>
      <c r="F46" s="508"/>
      <c r="G46" s="508"/>
      <c r="H46" s="508"/>
      <c r="I46" s="508"/>
      <c r="J46" s="508"/>
      <c r="K46" s="508"/>
      <c r="L46" s="474"/>
      <c r="M46" s="474"/>
    </row>
    <row r="47" spans="1:13" ht="12" customHeight="1">
      <c r="A47" s="474"/>
      <c r="B47" s="521" t="s">
        <v>385</v>
      </c>
      <c r="C47" s="468">
        <f>C10*C8</f>
        <v>0</v>
      </c>
      <c r="D47" s="422"/>
      <c r="E47" s="469">
        <f t="shared" si="1"/>
        <v>0</v>
      </c>
      <c r="F47" s="508"/>
      <c r="G47" s="508"/>
      <c r="H47" s="508"/>
      <c r="I47" s="508"/>
      <c r="J47" s="508"/>
      <c r="K47" s="508"/>
      <c r="L47" s="474"/>
      <c r="M47" s="474"/>
    </row>
    <row r="48" spans="1:13" ht="12" customHeight="1">
      <c r="A48" s="474"/>
      <c r="B48" s="521" t="s">
        <v>393</v>
      </c>
      <c r="C48" s="468">
        <f>C10*C6</f>
        <v>1</v>
      </c>
      <c r="D48" s="422"/>
      <c r="E48" s="469">
        <f t="shared" si="1"/>
        <v>0</v>
      </c>
      <c r="F48" s="508"/>
      <c r="G48" s="508"/>
      <c r="H48" s="508"/>
      <c r="I48" s="508"/>
      <c r="J48" s="508"/>
      <c r="K48" s="508"/>
      <c r="L48" s="474"/>
      <c r="M48" s="474"/>
    </row>
    <row r="49" spans="1:13" ht="12" customHeight="1">
      <c r="A49" s="474"/>
      <c r="B49" s="521" t="s">
        <v>394</v>
      </c>
      <c r="C49" s="468">
        <f>C10*C6</f>
        <v>1</v>
      </c>
      <c r="D49" s="422"/>
      <c r="E49" s="469">
        <f t="shared" si="1"/>
        <v>0</v>
      </c>
      <c r="F49" s="508"/>
      <c r="G49" s="508"/>
      <c r="H49" s="508"/>
      <c r="I49" s="508"/>
      <c r="J49" s="508"/>
      <c r="K49" s="508"/>
      <c r="L49" s="474"/>
      <c r="M49" s="474"/>
    </row>
    <row r="50" spans="1:13" ht="12" customHeight="1">
      <c r="A50" s="474"/>
      <c r="B50" s="521" t="s">
        <v>384</v>
      </c>
      <c r="C50" s="468">
        <f>C10*C8</f>
        <v>0</v>
      </c>
      <c r="D50" s="422"/>
      <c r="E50" s="469">
        <f t="shared" si="1"/>
        <v>0</v>
      </c>
      <c r="F50" s="508"/>
      <c r="G50" s="508"/>
      <c r="H50" s="508"/>
      <c r="I50" s="508"/>
      <c r="J50" s="508"/>
      <c r="K50" s="508"/>
      <c r="L50" s="474"/>
      <c r="M50" s="474"/>
    </row>
    <row r="51" spans="1:13" ht="12" customHeight="1">
      <c r="A51" s="474"/>
      <c r="B51" s="521" t="s">
        <v>461</v>
      </c>
      <c r="C51" s="468">
        <f>(C5+C7)*C10</f>
        <v>0</v>
      </c>
      <c r="D51" s="422"/>
      <c r="E51" s="469">
        <f t="shared" si="1"/>
        <v>0</v>
      </c>
      <c r="F51" s="508"/>
      <c r="G51" s="508"/>
      <c r="H51" s="508"/>
      <c r="I51" s="508"/>
      <c r="J51" s="508"/>
      <c r="K51" s="508"/>
      <c r="L51" s="474"/>
      <c r="M51" s="474"/>
    </row>
    <row r="52" spans="1:13" ht="12" customHeight="1">
      <c r="A52" s="474"/>
      <c r="B52" s="521" t="s">
        <v>382</v>
      </c>
      <c r="C52" s="468">
        <f>C7*C10</f>
        <v>0</v>
      </c>
      <c r="D52" s="422"/>
      <c r="E52" s="469">
        <f t="shared" si="1"/>
        <v>0</v>
      </c>
      <c r="F52" s="508"/>
      <c r="G52" s="508"/>
      <c r="H52" s="508"/>
      <c r="I52" s="508"/>
      <c r="J52" s="508"/>
      <c r="K52" s="508"/>
      <c r="L52" s="474"/>
      <c r="M52" s="474"/>
    </row>
    <row r="53" spans="1:13" ht="12" customHeight="1">
      <c r="A53" s="474"/>
      <c r="B53" s="521" t="s">
        <v>502</v>
      </c>
      <c r="C53" s="468">
        <f>C7*C10</f>
        <v>0</v>
      </c>
      <c r="D53" s="422"/>
      <c r="E53" s="469">
        <f t="shared" si="1"/>
        <v>0</v>
      </c>
      <c r="F53" s="718"/>
      <c r="G53" s="508"/>
      <c r="H53" s="508"/>
      <c r="I53" s="508"/>
      <c r="J53" s="508"/>
      <c r="K53" s="508"/>
      <c r="L53" s="474"/>
      <c r="M53" s="474"/>
    </row>
    <row r="54" spans="1:13" ht="12" customHeight="1">
      <c r="A54" s="474"/>
      <c r="B54" s="521" t="s">
        <v>387</v>
      </c>
      <c r="C54" s="468">
        <f>C5*C10</f>
        <v>0</v>
      </c>
      <c r="D54" s="422"/>
      <c r="E54" s="469">
        <f t="shared" si="1"/>
        <v>0</v>
      </c>
      <c r="F54" s="719"/>
      <c r="G54" s="508"/>
      <c r="H54" s="508"/>
      <c r="I54" s="508"/>
      <c r="J54" s="508"/>
      <c r="K54" s="508"/>
      <c r="L54" s="474"/>
      <c r="M54" s="474"/>
    </row>
    <row r="55" spans="1:13" ht="12" customHeight="1">
      <c r="A55" s="474"/>
      <c r="B55" s="594" t="s">
        <v>145</v>
      </c>
      <c r="C55" s="575">
        <f>C16</f>
        <v>0</v>
      </c>
      <c r="D55" s="591"/>
      <c r="E55" s="469">
        <f t="shared" si="1"/>
        <v>0</v>
      </c>
      <c r="F55" s="719"/>
      <c r="G55" s="508"/>
      <c r="H55" s="508"/>
      <c r="I55" s="508"/>
      <c r="J55" s="508"/>
      <c r="K55" s="508"/>
      <c r="L55" s="474"/>
      <c r="M55" s="474"/>
    </row>
    <row r="56" spans="1:13" ht="12" customHeight="1">
      <c r="A56" s="474"/>
      <c r="B56" s="594" t="s">
        <v>148</v>
      </c>
      <c r="C56" s="575">
        <f>C15</f>
        <v>0</v>
      </c>
      <c r="D56" s="591"/>
      <c r="E56" s="469">
        <f t="shared" si="1"/>
        <v>0</v>
      </c>
      <c r="F56" s="719"/>
      <c r="G56" s="508"/>
      <c r="H56" s="508"/>
      <c r="I56" s="508"/>
      <c r="J56" s="508"/>
      <c r="K56" s="508"/>
      <c r="L56" s="474"/>
      <c r="M56" s="474"/>
    </row>
    <row r="57" spans="1:13" ht="12" customHeight="1">
      <c r="A57" s="474"/>
      <c r="B57" s="594" t="s">
        <v>696</v>
      </c>
      <c r="C57" s="575">
        <f>C17</f>
        <v>0</v>
      </c>
      <c r="D57" s="591"/>
      <c r="E57" s="469">
        <f t="shared" si="1"/>
        <v>0</v>
      </c>
      <c r="F57" s="719"/>
      <c r="G57" s="508"/>
      <c r="H57" s="508"/>
      <c r="I57" s="508"/>
      <c r="J57" s="508"/>
      <c r="K57" s="508"/>
      <c r="L57" s="474"/>
      <c r="M57" s="474"/>
    </row>
    <row r="58" spans="1:13" ht="12" customHeight="1" thickBot="1">
      <c r="A58" s="474"/>
      <c r="B58" s="523" t="s">
        <v>837</v>
      </c>
      <c r="C58" s="471">
        <f>C5*C10</f>
        <v>0</v>
      </c>
      <c r="D58" s="542"/>
      <c r="E58" s="473">
        <f t="shared" si="1"/>
        <v>0</v>
      </c>
      <c r="F58" s="719"/>
      <c r="G58" s="508"/>
      <c r="H58" s="508"/>
      <c r="I58" s="508"/>
      <c r="J58" s="508"/>
      <c r="K58" s="508"/>
      <c r="L58" s="474"/>
      <c r="M58" s="474"/>
    </row>
    <row r="59" spans="1:13" ht="12" customHeight="1" thickBot="1">
      <c r="A59" s="474"/>
      <c r="B59" s="508"/>
      <c r="C59" s="508"/>
      <c r="D59" s="524" t="s">
        <v>9</v>
      </c>
      <c r="E59" s="596">
        <f>SUMIF(E20:E58,"&gt;0",E20:E58)</f>
        <v>0</v>
      </c>
      <c r="F59" s="719"/>
      <c r="G59" s="508"/>
      <c r="H59" s="508"/>
      <c r="I59" s="508"/>
      <c r="J59" s="508"/>
      <c r="K59" s="508"/>
      <c r="L59" s="474"/>
      <c r="M59" s="474"/>
    </row>
    <row r="60" spans="1:13" ht="11.25" customHeight="1">
      <c r="A60" s="474"/>
      <c r="B60" s="508"/>
      <c r="C60" s="508"/>
      <c r="D60" s="508"/>
      <c r="E60" s="508"/>
      <c r="F60" s="720"/>
      <c r="G60" s="508"/>
      <c r="H60" s="508"/>
      <c r="I60" s="508"/>
      <c r="J60" s="508"/>
      <c r="K60" s="508"/>
      <c r="L60" s="474"/>
      <c r="M60" s="474"/>
    </row>
    <row r="61" spans="1:13">
      <c r="A61" s="474"/>
      <c r="B61" s="508"/>
      <c r="C61" s="508"/>
      <c r="D61" s="508"/>
      <c r="E61" s="508"/>
      <c r="F61" s="720"/>
      <c r="G61" s="508"/>
      <c r="H61" s="508"/>
      <c r="I61" s="508"/>
      <c r="J61" s="508"/>
      <c r="K61" s="508"/>
      <c r="L61" s="474"/>
      <c r="M61" s="474"/>
    </row>
    <row r="62" spans="1:13">
      <c r="A62" s="474"/>
      <c r="B62" s="508"/>
      <c r="C62" s="508"/>
      <c r="D62" s="508"/>
      <c r="E62" s="508"/>
      <c r="F62" s="508"/>
      <c r="G62" s="508"/>
      <c r="H62" s="508"/>
      <c r="I62" s="508"/>
      <c r="J62" s="508"/>
      <c r="K62" s="508"/>
      <c r="L62" s="474"/>
      <c r="M62" s="474"/>
    </row>
    <row r="63" spans="1:13">
      <c r="A63" s="474"/>
      <c r="B63" s="474"/>
      <c r="C63" s="474"/>
      <c r="D63" s="474"/>
      <c r="E63" s="474"/>
      <c r="F63" s="474"/>
      <c r="G63" s="474"/>
      <c r="H63" s="474"/>
      <c r="I63" s="474"/>
      <c r="J63" s="474"/>
      <c r="K63" s="474"/>
      <c r="L63" s="474"/>
      <c r="M63" s="474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217" priority="33" operator="greaterThan">
      <formula>0</formula>
    </cfRule>
  </conditionalFormatting>
  <conditionalFormatting sqref="C9">
    <cfRule type="cellIs" dxfId="216" priority="29" operator="greaterThan">
      <formula>0</formula>
    </cfRule>
  </conditionalFormatting>
  <conditionalFormatting sqref="C9">
    <cfRule type="cellIs" dxfId="215" priority="32" operator="greaterThan">
      <formula>0</formula>
    </cfRule>
  </conditionalFormatting>
  <conditionalFormatting sqref="C9">
    <cfRule type="cellIs" dxfId="214" priority="31" operator="greaterThan">
      <formula>0</formula>
    </cfRule>
  </conditionalFormatting>
  <conditionalFormatting sqref="C9">
    <cfRule type="cellIs" dxfId="213" priority="30" operator="greaterThan">
      <formula>0</formula>
    </cfRule>
  </conditionalFormatting>
  <conditionalFormatting sqref="C37:E37">
    <cfRule type="cellIs" dxfId="212" priority="22" operator="greaterThan">
      <formula>0</formula>
    </cfRule>
    <cfRule type="cellIs" dxfId="211" priority="23" operator="greaterThan">
      <formula>0</formula>
    </cfRule>
    <cfRule type="cellIs" dxfId="210" priority="24" operator="greaterThan">
      <formula>0</formula>
    </cfRule>
  </conditionalFormatting>
  <conditionalFormatting sqref="C31:E31">
    <cfRule type="cellIs" dxfId="209" priority="20" operator="greaterThan">
      <formula>0</formula>
    </cfRule>
  </conditionalFormatting>
  <conditionalFormatting sqref="C43:E43">
    <cfRule type="cellIs" dxfId="208" priority="19" operator="greaterThan">
      <formula>0</formula>
    </cfRule>
  </conditionalFormatting>
  <conditionalFormatting sqref="C31:E31">
    <cfRule type="cellIs" dxfId="207" priority="21" operator="greaterThan">
      <formula>0</formula>
    </cfRule>
  </conditionalFormatting>
  <conditionalFormatting sqref="C47:E50">
    <cfRule type="cellIs" dxfId="206" priority="12" operator="greaterThan">
      <formula>0</formula>
    </cfRule>
  </conditionalFormatting>
  <conditionalFormatting sqref="C48:E49">
    <cfRule type="cellIs" dxfId="205" priority="17" operator="greaterThan">
      <formula>0</formula>
    </cfRule>
  </conditionalFormatting>
  <conditionalFormatting sqref="C47:E47">
    <cfRule type="cellIs" dxfId="204" priority="18" operator="greaterThan">
      <formula>0</formula>
    </cfRule>
  </conditionalFormatting>
  <conditionalFormatting sqref="C50:E50">
    <cfRule type="cellIs" dxfId="203" priority="16" operator="greaterThan">
      <formula>0</formula>
    </cfRule>
  </conditionalFormatting>
  <conditionalFormatting sqref="C47:E50">
    <cfRule type="cellIs" dxfId="202" priority="13" operator="greaterThan">
      <formula>0</formula>
    </cfRule>
    <cfRule type="cellIs" dxfId="201" priority="14" operator="greaterThan">
      <formula>0</formula>
    </cfRule>
    <cfRule type="cellIs" dxfId="200" priority="15" operator="greaterThan">
      <formula>0</formula>
    </cfRule>
  </conditionalFormatting>
  <conditionalFormatting sqref="J3:K18">
    <cfRule type="cellIs" dxfId="199" priority="4" operator="greaterThan">
      <formula>0</formula>
    </cfRule>
    <cfRule type="cellIs" dxfId="198" priority="7" operator="greaterThan">
      <formula>0</formula>
    </cfRule>
    <cfRule type="cellIs" dxfId="197" priority="8" operator="greaterThan">
      <formula>0</formula>
    </cfRule>
  </conditionalFormatting>
  <conditionalFormatting sqref="I3:I18">
    <cfRule type="cellIs" dxfId="196" priority="9" operator="equal">
      <formula>"НЕТ"</formula>
    </cfRule>
    <cfRule type="cellIs" dxfId="195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194" priority="6" operator="greaterThan">
      <formula>0</formula>
    </cfRule>
  </conditionalFormatting>
  <conditionalFormatting sqref="C2:C14">
    <cfRule type="cellIs" dxfId="193" priority="5" operator="greaterThan">
      <formula>0</formula>
    </cfRule>
  </conditionalFormatting>
  <conditionalFormatting sqref="E59">
    <cfRule type="cellIs" dxfId="192" priority="3" operator="greaterThan">
      <formula>0</formula>
    </cfRule>
  </conditionalFormatting>
  <conditionalFormatting sqref="C15:C17">
    <cfRule type="cellIs" dxfId="191" priority="2" operator="greaterThan">
      <formula>0</formula>
    </cfRule>
  </conditionalFormatting>
  <conditionalFormatting sqref="C55:E57">
    <cfRule type="cellIs" dxfId="19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O60" sqref="O60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74"/>
      <c r="B1" s="1171"/>
      <c r="C1" s="1172"/>
      <c r="D1" s="1172"/>
      <c r="E1" s="1172"/>
      <c r="F1" s="474"/>
      <c r="G1" s="474"/>
      <c r="H1" s="474"/>
      <c r="I1" s="474"/>
      <c r="J1" s="474"/>
      <c r="K1" s="474"/>
      <c r="L1" s="474"/>
      <c r="M1" s="474"/>
    </row>
    <row r="2" spans="1:13" ht="12" customHeight="1" thickBot="1">
      <c r="A2" s="474"/>
      <c r="B2" s="476" t="s">
        <v>673</v>
      </c>
      <c r="C2" s="675">
        <v>0</v>
      </c>
      <c r="D2" s="1116" t="s">
        <v>602</v>
      </c>
      <c r="E2" s="1117"/>
      <c r="F2" s="1118"/>
      <c r="G2" s="508"/>
      <c r="H2" s="478" t="s">
        <v>492</v>
      </c>
      <c r="I2" s="479" t="s">
        <v>611</v>
      </c>
      <c r="J2" s="545" t="s">
        <v>4</v>
      </c>
      <c r="K2" s="546" t="s">
        <v>8</v>
      </c>
      <c r="L2" s="474"/>
      <c r="M2" s="474"/>
    </row>
    <row r="3" spans="1:13" ht="12" customHeight="1" thickBot="1">
      <c r="A3" s="474"/>
      <c r="B3" s="481" t="s">
        <v>674</v>
      </c>
      <c r="C3" s="659">
        <v>0</v>
      </c>
      <c r="D3" s="1119"/>
      <c r="E3" s="1120"/>
      <c r="F3" s="1121"/>
      <c r="G3" s="508"/>
      <c r="H3" s="482" t="s">
        <v>379</v>
      </c>
      <c r="I3" s="483" t="str">
        <f>IF(AND($C$7=1,$C$5+$C$6+$C$8=0,$C$9=2),"ДА","НЕТ")</f>
        <v>НЕТ</v>
      </c>
      <c r="J3" s="387"/>
      <c r="K3" s="388">
        <f>IF(I3="ДА",$C$10*J3,0)</f>
        <v>0</v>
      </c>
      <c r="L3" s="474"/>
      <c r="M3" s="474"/>
    </row>
    <row r="4" spans="1:13" ht="12" customHeight="1" thickBot="1">
      <c r="A4" s="474"/>
      <c r="B4" s="498" t="s">
        <v>127</v>
      </c>
      <c r="C4" s="663">
        <v>0</v>
      </c>
      <c r="D4" s="1168" t="s">
        <v>128</v>
      </c>
      <c r="E4" s="1169"/>
      <c r="F4" s="1170"/>
      <c r="G4" s="508"/>
      <c r="H4" s="485" t="s">
        <v>380</v>
      </c>
      <c r="I4" s="483" t="str">
        <f>IF(AND($C$7=1,$C$5+$C$6+$C$8=0,$C$9=2),"ДА","НЕТ")</f>
        <v>НЕТ</v>
      </c>
      <c r="J4" s="464"/>
      <c r="K4" s="388">
        <f t="shared" ref="K4:K17" si="0">IF(I4="ДА",$C$10*J4,0)</f>
        <v>0</v>
      </c>
      <c r="L4" s="474"/>
      <c r="M4" s="474"/>
    </row>
    <row r="5" spans="1:13" ht="12" customHeight="1">
      <c r="A5" s="474"/>
      <c r="B5" s="488" t="s">
        <v>499</v>
      </c>
      <c r="C5" s="672">
        <v>0</v>
      </c>
      <c r="D5" s="491" t="s">
        <v>294</v>
      </c>
      <c r="E5" s="759" t="s">
        <v>256</v>
      </c>
      <c r="F5" s="1125" t="s">
        <v>604</v>
      </c>
      <c r="G5" s="508"/>
      <c r="H5" s="485" t="s">
        <v>381</v>
      </c>
      <c r="I5" s="483" t="str">
        <f>IF(AND($C$7=1,$C$5+$C$6+$C$8=0,$C$9=2),"ДА","НЕТ")</f>
        <v>НЕТ</v>
      </c>
      <c r="J5" s="464"/>
      <c r="K5" s="388">
        <f t="shared" si="0"/>
        <v>0</v>
      </c>
      <c r="L5" s="474"/>
      <c r="M5" s="474"/>
    </row>
    <row r="6" spans="1:13" ht="12" customHeight="1">
      <c r="A6" s="474"/>
      <c r="B6" s="486" t="s">
        <v>500</v>
      </c>
      <c r="C6" s="671">
        <v>0</v>
      </c>
      <c r="D6" s="493" t="s">
        <v>294</v>
      </c>
      <c r="E6" s="713" t="s">
        <v>256</v>
      </c>
      <c r="F6" s="1125"/>
      <c r="G6" s="508"/>
      <c r="H6" s="487" t="s">
        <v>383</v>
      </c>
      <c r="I6" s="483" t="str">
        <f>IF(AND($C$7=1,$C$5+$C$6+$C$8=0,$C$9=3),"ДА","НЕТ")</f>
        <v>НЕТ</v>
      </c>
      <c r="J6" s="391"/>
      <c r="K6" s="388">
        <f t="shared" si="0"/>
        <v>0</v>
      </c>
      <c r="L6" s="474"/>
      <c r="M6" s="474"/>
    </row>
    <row r="7" spans="1:13" ht="12" customHeight="1">
      <c r="A7" s="474"/>
      <c r="B7" s="486" t="s">
        <v>497</v>
      </c>
      <c r="C7" s="671">
        <v>0</v>
      </c>
      <c r="D7" s="493" t="s">
        <v>294</v>
      </c>
      <c r="E7" s="713" t="s">
        <v>256</v>
      </c>
      <c r="F7" s="1125"/>
      <c r="G7" s="508"/>
      <c r="H7" s="485" t="s">
        <v>496</v>
      </c>
      <c r="I7" s="483" t="str">
        <f>IF(AND($C$8=1,$C$5+$C$6+$C$7=0,$C$9=1),"ДА","НЕТ")</f>
        <v>НЕТ</v>
      </c>
      <c r="J7" s="464"/>
      <c r="K7" s="388">
        <f t="shared" si="0"/>
        <v>0</v>
      </c>
      <c r="L7" s="474"/>
      <c r="M7" s="474"/>
    </row>
    <row r="8" spans="1:13" ht="12" customHeight="1" thickBot="1">
      <c r="A8" s="474"/>
      <c r="B8" s="509" t="s">
        <v>498</v>
      </c>
      <c r="C8" s="670">
        <v>0</v>
      </c>
      <c r="D8" s="496" t="s">
        <v>294</v>
      </c>
      <c r="E8" s="500" t="s">
        <v>256</v>
      </c>
      <c r="F8" s="1126"/>
      <c r="G8" s="508"/>
      <c r="H8" s="487" t="s">
        <v>493</v>
      </c>
      <c r="I8" s="483" t="str">
        <f>IF(AND($C$8=1,$C$5+$C$6+$C$7=0,$C$9=3),"ДА","НЕТ")</f>
        <v>НЕТ</v>
      </c>
      <c r="J8" s="391"/>
      <c r="K8" s="388">
        <f t="shared" si="0"/>
        <v>0</v>
      </c>
      <c r="L8" s="474"/>
      <c r="M8" s="474"/>
    </row>
    <row r="9" spans="1:13" ht="12" customHeight="1" thickBot="1">
      <c r="A9" s="474"/>
      <c r="B9" s="498" t="s">
        <v>596</v>
      </c>
      <c r="C9" s="662">
        <v>0</v>
      </c>
      <c r="D9" s="502" t="s">
        <v>626</v>
      </c>
      <c r="E9" s="503" t="s">
        <v>627</v>
      </c>
      <c r="F9" s="505" t="s">
        <v>628</v>
      </c>
      <c r="G9" s="508"/>
      <c r="H9" s="487" t="s">
        <v>494</v>
      </c>
      <c r="I9" s="483" t="str">
        <f>IF(AND($C$8=1,$C$5+$C$6+$C$7=0,$C$9=2),"ДА","НЕТ")</f>
        <v>НЕТ</v>
      </c>
      <c r="J9" s="391"/>
      <c r="K9" s="388">
        <f t="shared" si="0"/>
        <v>0</v>
      </c>
      <c r="L9" s="474"/>
      <c r="M9" s="474"/>
    </row>
    <row r="10" spans="1:13" ht="12" customHeight="1" thickBot="1">
      <c r="A10" s="474"/>
      <c r="B10" s="583" t="s">
        <v>123</v>
      </c>
      <c r="C10" s="637">
        <v>0</v>
      </c>
      <c r="D10" s="1168" t="s">
        <v>682</v>
      </c>
      <c r="E10" s="1169"/>
      <c r="F10" s="1170"/>
      <c r="G10" s="508"/>
      <c r="H10" s="487" t="s">
        <v>495</v>
      </c>
      <c r="I10" s="483" t="str">
        <f>IF(AND($C$8=1,$C$5+$C$6+$C$7=0,$C$9=2),"ДА","НЕТ")</f>
        <v>НЕТ</v>
      </c>
      <c r="J10" s="391"/>
      <c r="K10" s="388">
        <f t="shared" si="0"/>
        <v>0</v>
      </c>
      <c r="L10" s="474"/>
      <c r="M10" s="474"/>
    </row>
    <row r="11" spans="1:13" ht="12" customHeight="1" thickBot="1">
      <c r="A11" s="474"/>
      <c r="B11" s="498" t="s">
        <v>411</v>
      </c>
      <c r="C11" s="534">
        <v>0</v>
      </c>
      <c r="D11" s="502" t="s">
        <v>294</v>
      </c>
      <c r="E11" s="505" t="s">
        <v>256</v>
      </c>
      <c r="F11" s="698"/>
      <c r="G11" s="508"/>
      <c r="H11" s="487" t="s">
        <v>501</v>
      </c>
      <c r="I11" s="483" t="str">
        <f>IF(AND($C$8=1,$C$5+$C$6+$C$7=0,$C$9=2),"ДА","НЕТ")</f>
        <v>НЕТ</v>
      </c>
      <c r="J11" s="391"/>
      <c r="K11" s="388">
        <f t="shared" si="0"/>
        <v>0</v>
      </c>
      <c r="L11" s="474"/>
      <c r="M11" s="474"/>
    </row>
    <row r="12" spans="1:13" ht="12" customHeight="1">
      <c r="A12" s="474"/>
      <c r="B12" s="488" t="s">
        <v>404</v>
      </c>
      <c r="C12" s="531">
        <v>0</v>
      </c>
      <c r="D12" s="489" t="s">
        <v>294</v>
      </c>
      <c r="E12" s="694" t="s">
        <v>256</v>
      </c>
      <c r="F12" s="1137" t="s">
        <v>604</v>
      </c>
      <c r="G12" s="508"/>
      <c r="H12" s="482" t="s">
        <v>388</v>
      </c>
      <c r="I12" s="483" t="str">
        <f>IF(AND($C$5=1,$C$8+$C$7+$C$6=0,$C$9=1),"ДА","НЕТ")</f>
        <v>НЕТ</v>
      </c>
      <c r="J12" s="394"/>
      <c r="K12" s="388">
        <f t="shared" si="0"/>
        <v>0</v>
      </c>
      <c r="L12" s="474"/>
      <c r="M12" s="474"/>
    </row>
    <row r="13" spans="1:13" ht="12" customHeight="1" thickBot="1">
      <c r="A13" s="474"/>
      <c r="B13" s="481" t="s">
        <v>405</v>
      </c>
      <c r="C13" s="532">
        <v>0</v>
      </c>
      <c r="D13" s="496" t="s">
        <v>294</v>
      </c>
      <c r="E13" s="500" t="s">
        <v>256</v>
      </c>
      <c r="F13" s="1138"/>
      <c r="G13" s="508"/>
      <c r="H13" s="482" t="s">
        <v>389</v>
      </c>
      <c r="I13" s="483" t="str">
        <f>IF(AND($C$5=1,$C$8+$C$7+$C$6=0,$C$9=3),"ДА","НЕТ")</f>
        <v>НЕТ</v>
      </c>
      <c r="J13" s="394"/>
      <c r="K13" s="388">
        <f t="shared" si="0"/>
        <v>0</v>
      </c>
      <c r="L13" s="474"/>
      <c r="M13" s="474"/>
    </row>
    <row r="14" spans="1:13" ht="12" customHeight="1">
      <c r="A14" s="474"/>
      <c r="B14" s="476" t="s">
        <v>147</v>
      </c>
      <c r="C14" s="533">
        <v>0</v>
      </c>
      <c r="D14" s="1127" t="s">
        <v>693</v>
      </c>
      <c r="E14" s="1128"/>
      <c r="F14" s="1129"/>
      <c r="G14" s="508"/>
      <c r="H14" s="482" t="s">
        <v>390</v>
      </c>
      <c r="I14" s="483" t="str">
        <f>IF(AND($C$6=1,$C$7+$C$8+$C$5=0,$C$9=1),"ДА","НЕТ")</f>
        <v>НЕТ</v>
      </c>
      <c r="J14" s="394"/>
      <c r="K14" s="388">
        <f t="shared" si="0"/>
        <v>0</v>
      </c>
      <c r="L14" s="474"/>
      <c r="M14" s="474"/>
    </row>
    <row r="15" spans="1:13" ht="12" customHeight="1">
      <c r="A15" s="474"/>
      <c r="B15" s="486" t="s">
        <v>146</v>
      </c>
      <c r="C15" s="530">
        <v>0</v>
      </c>
      <c r="D15" s="1130" t="s">
        <v>694</v>
      </c>
      <c r="E15" s="1131"/>
      <c r="F15" s="1132"/>
      <c r="G15" s="508"/>
      <c r="H15" s="485" t="s">
        <v>391</v>
      </c>
      <c r="I15" s="483" t="str">
        <f>IF(AND($C$6=1,$C$7+$C$8+$C$5=0,$C$9=1),"ДА","НЕТ")</f>
        <v>НЕТ</v>
      </c>
      <c r="J15" s="394"/>
      <c r="K15" s="388">
        <f t="shared" si="0"/>
        <v>0</v>
      </c>
      <c r="L15" s="474"/>
      <c r="M15" s="474"/>
    </row>
    <row r="16" spans="1:13" ht="12" customHeight="1" thickBot="1">
      <c r="A16" s="474"/>
      <c r="B16" s="481" t="s">
        <v>143</v>
      </c>
      <c r="C16" s="532">
        <v>0</v>
      </c>
      <c r="D16" s="1133" t="s">
        <v>695</v>
      </c>
      <c r="E16" s="1134"/>
      <c r="F16" s="1135"/>
      <c r="G16" s="508"/>
      <c r="H16" s="482" t="s">
        <v>395</v>
      </c>
      <c r="I16" s="483" t="str">
        <f>IF(AND($C$6=1,$C$7+$C$8+$C$5=0,$C$9=2),"ДА","НЕТ")</f>
        <v>НЕТ</v>
      </c>
      <c r="J16" s="394"/>
      <c r="K16" s="388">
        <f t="shared" si="0"/>
        <v>0</v>
      </c>
      <c r="L16" s="474"/>
      <c r="M16" s="474"/>
    </row>
    <row r="17" spans="1:13" ht="12" customHeight="1" thickBot="1">
      <c r="A17" s="474"/>
      <c r="B17" s="673"/>
      <c r="C17" s="673"/>
      <c r="D17" s="673"/>
      <c r="E17" s="508"/>
      <c r="F17" s="508"/>
      <c r="G17" s="508"/>
      <c r="H17" s="506" t="s">
        <v>396</v>
      </c>
      <c r="I17" s="507" t="str">
        <f>IF(AND($C$6=1,$C$7+$C$8+$C$5=0,$C$9=2),"ДА","НЕТ")</f>
        <v>НЕТ</v>
      </c>
      <c r="J17" s="401"/>
      <c r="K17" s="544">
        <f t="shared" si="0"/>
        <v>0</v>
      </c>
      <c r="L17" s="474"/>
      <c r="M17" s="474"/>
    </row>
    <row r="18" spans="1:13" ht="12" customHeight="1">
      <c r="A18" s="474"/>
      <c r="B18" s="513" t="s">
        <v>5</v>
      </c>
      <c r="C18" s="514" t="s">
        <v>0</v>
      </c>
      <c r="D18" s="515" t="s">
        <v>4</v>
      </c>
      <c r="E18" s="516" t="s">
        <v>8</v>
      </c>
      <c r="F18" s="508"/>
      <c r="G18" s="508"/>
      <c r="H18" s="508"/>
      <c r="I18" s="508"/>
      <c r="J18" s="508"/>
      <c r="K18" s="508"/>
      <c r="L18" s="474"/>
      <c r="M18" s="474"/>
    </row>
    <row r="19" spans="1:13" ht="12" customHeight="1">
      <c r="A19" s="474"/>
      <c r="B19" s="520" t="s">
        <v>408</v>
      </c>
      <c r="C19" s="416">
        <f>C2*C10</f>
        <v>0</v>
      </c>
      <c r="D19" s="422"/>
      <c r="E19" s="413">
        <f>C19*D19</f>
        <v>0</v>
      </c>
      <c r="F19" s="508"/>
      <c r="G19" s="508"/>
      <c r="H19" s="508"/>
      <c r="I19" s="508"/>
      <c r="J19" s="508"/>
      <c r="K19" s="508"/>
      <c r="L19" s="474"/>
      <c r="M19" s="474"/>
    </row>
    <row r="20" spans="1:13" ht="12" customHeight="1">
      <c r="A20" s="474"/>
      <c r="B20" s="520" t="s">
        <v>409</v>
      </c>
      <c r="C20" s="416">
        <f>IF(C13=1,C2*C10,0)</f>
        <v>0</v>
      </c>
      <c r="D20" s="422"/>
      <c r="E20" s="413">
        <f>C20*D20</f>
        <v>0</v>
      </c>
      <c r="F20" s="508"/>
      <c r="G20" s="508"/>
      <c r="H20" s="508"/>
      <c r="I20" s="508"/>
      <c r="J20" s="508"/>
      <c r="K20" s="508"/>
      <c r="L20" s="474"/>
      <c r="M20" s="474"/>
    </row>
    <row r="21" spans="1:13" ht="12" customHeight="1">
      <c r="A21" s="474"/>
      <c r="B21" s="518" t="s">
        <v>406</v>
      </c>
      <c r="C21" s="411">
        <f>IF(AND(C12=1,C13=0),(C4*C10)*2,0)</f>
        <v>0</v>
      </c>
      <c r="D21" s="422"/>
      <c r="E21" s="413">
        <f>C21*D21</f>
        <v>0</v>
      </c>
      <c r="F21" s="508"/>
      <c r="G21" s="508"/>
      <c r="H21" s="508"/>
      <c r="I21" s="508"/>
      <c r="J21" s="508"/>
      <c r="K21" s="508"/>
      <c r="L21" s="474"/>
      <c r="M21" s="474"/>
    </row>
    <row r="22" spans="1:13" ht="12" customHeight="1">
      <c r="A22" s="474"/>
      <c r="B22" s="518" t="s">
        <v>407</v>
      </c>
      <c r="C22" s="411">
        <f>IF(AND(C12=0,C13=1),C4*C10,0)</f>
        <v>0</v>
      </c>
      <c r="D22" s="422"/>
      <c r="E22" s="413">
        <f>C22*D22</f>
        <v>0</v>
      </c>
      <c r="F22" s="508"/>
      <c r="G22" s="508"/>
      <c r="H22" s="508"/>
      <c r="I22" s="508"/>
      <c r="J22" s="508"/>
      <c r="K22" s="508"/>
      <c r="L22" s="474"/>
      <c r="M22" s="474"/>
    </row>
    <row r="23" spans="1:13" ht="12" customHeight="1">
      <c r="A23" s="474"/>
      <c r="B23" s="520" t="s">
        <v>454</v>
      </c>
      <c r="C23" s="416">
        <f>C10*2</f>
        <v>0</v>
      </c>
      <c r="D23" s="422"/>
      <c r="E23" s="413">
        <f t="shared" ref="E23:E55" si="1">C23*D23</f>
        <v>0</v>
      </c>
      <c r="F23" s="508"/>
      <c r="G23" s="508"/>
      <c r="H23" s="508"/>
      <c r="I23" s="508"/>
      <c r="J23" s="508"/>
      <c r="K23" s="508"/>
      <c r="L23" s="474"/>
      <c r="M23" s="474"/>
    </row>
    <row r="24" spans="1:13" ht="12" customHeight="1">
      <c r="A24" s="474"/>
      <c r="B24" s="520" t="s">
        <v>510</v>
      </c>
      <c r="C24" s="416">
        <f>(C4-1)*C10</f>
        <v>0</v>
      </c>
      <c r="D24" s="422"/>
      <c r="E24" s="413">
        <f t="shared" si="1"/>
        <v>0</v>
      </c>
      <c r="F24" s="508"/>
      <c r="G24" s="508"/>
      <c r="H24" s="508"/>
      <c r="I24" s="508"/>
      <c r="J24" s="508"/>
      <c r="K24" s="508"/>
      <c r="L24" s="474"/>
      <c r="M24" s="474"/>
    </row>
    <row r="25" spans="1:13" ht="12" customHeight="1">
      <c r="A25" s="474"/>
      <c r="B25" s="518" t="s">
        <v>481</v>
      </c>
      <c r="C25" s="411">
        <f>C2*C10*(C5+C7)</f>
        <v>0</v>
      </c>
      <c r="D25" s="412"/>
      <c r="E25" s="413">
        <f t="shared" si="1"/>
        <v>0</v>
      </c>
      <c r="F25" s="508"/>
      <c r="G25" s="508"/>
      <c r="H25" s="508"/>
      <c r="I25" s="508"/>
      <c r="J25" s="508"/>
      <c r="K25" s="508"/>
      <c r="L25" s="474"/>
      <c r="M25" s="474"/>
    </row>
    <row r="26" spans="1:13" ht="12" customHeight="1">
      <c r="A26" s="474"/>
      <c r="B26" s="520" t="s">
        <v>487</v>
      </c>
      <c r="C26" s="416">
        <f>C10*C2*(C6+C8)</f>
        <v>0</v>
      </c>
      <c r="D26" s="422"/>
      <c r="E26" s="413">
        <f t="shared" si="1"/>
        <v>0</v>
      </c>
      <c r="F26" s="508"/>
      <c r="G26" s="508"/>
      <c r="H26" s="508"/>
      <c r="I26" s="508"/>
      <c r="J26" s="508"/>
      <c r="K26" s="508"/>
      <c r="L26" s="474"/>
      <c r="M26" s="474"/>
    </row>
    <row r="27" spans="1:13" ht="12" customHeight="1">
      <c r="A27" s="474"/>
      <c r="B27" s="520" t="s">
        <v>118</v>
      </c>
      <c r="C27" s="416">
        <f>C2*C10</f>
        <v>0</v>
      </c>
      <c r="D27" s="417"/>
      <c r="E27" s="413">
        <f t="shared" si="1"/>
        <v>0</v>
      </c>
      <c r="F27" s="508"/>
      <c r="G27" s="508"/>
      <c r="H27" s="508"/>
      <c r="I27" s="508"/>
      <c r="J27" s="508"/>
      <c r="K27" s="508"/>
      <c r="L27" s="474"/>
      <c r="M27" s="474"/>
    </row>
    <row r="28" spans="1:13" ht="12" customHeight="1">
      <c r="A28" s="474"/>
      <c r="B28" s="518" t="s">
        <v>458</v>
      </c>
      <c r="C28" s="411">
        <f>C2*C10*(C5+C7)</f>
        <v>0</v>
      </c>
      <c r="D28" s="412"/>
      <c r="E28" s="413">
        <f t="shared" si="1"/>
        <v>0</v>
      </c>
      <c r="F28" s="508"/>
      <c r="G28" s="508"/>
      <c r="H28" s="508"/>
      <c r="I28" s="508"/>
      <c r="J28" s="508"/>
      <c r="K28" s="508"/>
      <c r="L28" s="474"/>
      <c r="M28" s="474"/>
    </row>
    <row r="29" spans="1:13" ht="12" customHeight="1">
      <c r="A29" s="474"/>
      <c r="B29" s="518" t="s">
        <v>457</v>
      </c>
      <c r="C29" s="411">
        <f>C10*C2*(C6+C8)</f>
        <v>0</v>
      </c>
      <c r="D29" s="465"/>
      <c r="E29" s="413">
        <f t="shared" si="1"/>
        <v>0</v>
      </c>
      <c r="F29" s="508"/>
      <c r="G29" s="508"/>
      <c r="H29" s="508"/>
      <c r="I29" s="508"/>
      <c r="J29" s="508"/>
      <c r="K29" s="508"/>
      <c r="L29" s="474"/>
      <c r="M29" s="474"/>
    </row>
    <row r="30" spans="1:13" ht="12" customHeight="1">
      <c r="A30" s="474"/>
      <c r="B30" s="520" t="s">
        <v>374</v>
      </c>
      <c r="C30" s="416">
        <f>C10*(C5+C7)</f>
        <v>0</v>
      </c>
      <c r="D30" s="417"/>
      <c r="E30" s="413">
        <f t="shared" si="1"/>
        <v>0</v>
      </c>
      <c r="F30" s="508"/>
      <c r="G30" s="508"/>
      <c r="H30" s="508"/>
      <c r="I30" s="508"/>
      <c r="J30" s="508"/>
      <c r="K30" s="508"/>
      <c r="L30" s="474"/>
      <c r="M30" s="474"/>
    </row>
    <row r="31" spans="1:13" ht="12" customHeight="1">
      <c r="A31" s="474"/>
      <c r="B31" s="520" t="s">
        <v>732</v>
      </c>
      <c r="C31" s="416">
        <f>C10*(C4*2-2)*(C6+C8)</f>
        <v>0</v>
      </c>
      <c r="D31" s="422"/>
      <c r="E31" s="413">
        <f t="shared" si="1"/>
        <v>0</v>
      </c>
      <c r="F31" s="508"/>
      <c r="G31" s="508"/>
      <c r="H31" s="508"/>
      <c r="I31" s="508"/>
      <c r="J31" s="508"/>
      <c r="K31" s="508"/>
      <c r="L31" s="474"/>
      <c r="M31" s="474"/>
    </row>
    <row r="32" spans="1:13" ht="12" customHeight="1">
      <c r="A32" s="474"/>
      <c r="B32" s="520" t="s">
        <v>477</v>
      </c>
      <c r="C32" s="416">
        <f>C10*(C6+C8)</f>
        <v>0</v>
      </c>
      <c r="D32" s="422"/>
      <c r="E32" s="638">
        <f>C32*D32</f>
        <v>0</v>
      </c>
      <c r="F32" s="508"/>
      <c r="G32" s="508"/>
      <c r="H32" s="508"/>
      <c r="I32" s="508"/>
      <c r="J32" s="508"/>
      <c r="K32" s="508"/>
      <c r="L32" s="474"/>
      <c r="M32" s="474"/>
    </row>
    <row r="33" spans="1:13" ht="12" customHeight="1">
      <c r="A33" s="474"/>
      <c r="B33" s="520" t="s">
        <v>511</v>
      </c>
      <c r="C33" s="416">
        <f>(C4-1)*C10</f>
        <v>0</v>
      </c>
      <c r="D33" s="417"/>
      <c r="E33" s="413">
        <f t="shared" si="1"/>
        <v>0</v>
      </c>
      <c r="F33" s="508"/>
      <c r="G33" s="508"/>
      <c r="H33" s="508"/>
      <c r="I33" s="508"/>
      <c r="J33" s="508"/>
      <c r="K33" s="508"/>
      <c r="L33" s="474"/>
      <c r="M33" s="474"/>
    </row>
    <row r="34" spans="1:13" ht="12" customHeight="1">
      <c r="A34" s="474"/>
      <c r="B34" s="520" t="s">
        <v>512</v>
      </c>
      <c r="C34" s="416">
        <f>(C4-1)*C10</f>
        <v>0</v>
      </c>
      <c r="D34" s="417"/>
      <c r="E34" s="413">
        <f t="shared" si="1"/>
        <v>0</v>
      </c>
      <c r="F34" s="508"/>
      <c r="G34" s="508"/>
      <c r="H34" s="508"/>
      <c r="I34" s="508"/>
      <c r="J34" s="508"/>
      <c r="K34" s="508"/>
      <c r="L34" s="474"/>
      <c r="M34" s="474"/>
    </row>
    <row r="35" spans="1:13" ht="12" customHeight="1">
      <c r="A35" s="474"/>
      <c r="B35" s="520" t="s">
        <v>836</v>
      </c>
      <c r="C35" s="416">
        <f>C10</f>
        <v>0</v>
      </c>
      <c r="D35" s="417"/>
      <c r="E35" s="413">
        <f t="shared" si="1"/>
        <v>0</v>
      </c>
      <c r="F35" s="508"/>
      <c r="G35" s="508"/>
      <c r="H35" s="508"/>
      <c r="I35" s="508"/>
      <c r="J35" s="508"/>
      <c r="K35" s="508"/>
      <c r="L35" s="474"/>
      <c r="M35" s="474"/>
    </row>
    <row r="36" spans="1:13" ht="12" customHeight="1">
      <c r="A36" s="474"/>
      <c r="B36" s="520" t="s">
        <v>641</v>
      </c>
      <c r="C36" s="416">
        <f>EVEN(ROUNDDOWN(IF(C11=1,(C2/0.5)*C10,0),0))</f>
        <v>0</v>
      </c>
      <c r="D36" s="417"/>
      <c r="E36" s="413">
        <f t="shared" si="1"/>
        <v>0</v>
      </c>
      <c r="F36" s="508"/>
      <c r="G36" s="508"/>
      <c r="H36" s="508"/>
      <c r="I36" s="508"/>
      <c r="J36" s="508"/>
      <c r="K36" s="508"/>
      <c r="L36" s="474"/>
      <c r="M36" s="474"/>
    </row>
    <row r="37" spans="1:13" ht="12" customHeight="1">
      <c r="A37" s="474"/>
      <c r="B37" s="520" t="s">
        <v>486</v>
      </c>
      <c r="C37" s="416">
        <f>EVEN(ROUNDDOWN(IF(C11=0,(C33/0.5)*C10,0),0))</f>
        <v>0</v>
      </c>
      <c r="D37" s="417"/>
      <c r="E37" s="413">
        <f t="shared" si="1"/>
        <v>0</v>
      </c>
      <c r="F37" s="508"/>
      <c r="G37" s="508"/>
      <c r="H37" s="508"/>
      <c r="I37" s="508"/>
      <c r="J37" s="508"/>
      <c r="K37" s="508"/>
      <c r="L37" s="474"/>
      <c r="M37" s="474"/>
    </row>
    <row r="38" spans="1:13" ht="12" customHeight="1">
      <c r="A38" s="474"/>
      <c r="B38" s="520" t="s">
        <v>637</v>
      </c>
      <c r="C38" s="416">
        <f>C2*C10</f>
        <v>0</v>
      </c>
      <c r="D38" s="417"/>
      <c r="E38" s="413">
        <f t="shared" si="1"/>
        <v>0</v>
      </c>
      <c r="F38" s="522"/>
      <c r="G38" s="508"/>
      <c r="H38" s="508"/>
      <c r="I38" s="508"/>
      <c r="J38" s="508"/>
      <c r="K38" s="508"/>
      <c r="L38" s="474"/>
      <c r="M38" s="474"/>
    </row>
    <row r="39" spans="1:13" ht="12" customHeight="1">
      <c r="A39" s="474"/>
      <c r="B39" s="520" t="s">
        <v>638</v>
      </c>
      <c r="C39" s="416">
        <f>C2*C10</f>
        <v>0</v>
      </c>
      <c r="D39" s="417"/>
      <c r="E39" s="413">
        <f t="shared" si="1"/>
        <v>0</v>
      </c>
      <c r="F39" s="711"/>
      <c r="G39" s="508"/>
      <c r="H39" s="508"/>
      <c r="I39" s="508"/>
      <c r="J39" s="508"/>
      <c r="K39" s="508"/>
      <c r="L39" s="474"/>
      <c r="M39" s="474"/>
    </row>
    <row r="40" spans="1:13" ht="12" customHeight="1">
      <c r="A40" s="474"/>
      <c r="B40" s="520" t="s">
        <v>639</v>
      </c>
      <c r="C40" s="416">
        <f>C10</f>
        <v>0</v>
      </c>
      <c r="D40" s="417"/>
      <c r="E40" s="413">
        <f t="shared" si="1"/>
        <v>0</v>
      </c>
      <c r="F40" s="716"/>
      <c r="G40" s="508"/>
      <c r="H40" s="508"/>
      <c r="I40" s="508"/>
      <c r="J40" s="508"/>
      <c r="K40" s="508"/>
      <c r="L40" s="474"/>
      <c r="M40" s="474"/>
    </row>
    <row r="41" spans="1:13" ht="12" customHeight="1">
      <c r="A41" s="474"/>
      <c r="B41" s="520" t="s">
        <v>640</v>
      </c>
      <c r="C41" s="416">
        <f>C10</f>
        <v>0</v>
      </c>
      <c r="D41" s="417"/>
      <c r="E41" s="413">
        <f t="shared" si="1"/>
        <v>0</v>
      </c>
      <c r="F41" s="716"/>
      <c r="G41" s="508"/>
      <c r="H41" s="508"/>
      <c r="I41" s="508"/>
      <c r="J41" s="508"/>
      <c r="K41" s="508"/>
      <c r="L41" s="474"/>
      <c r="M41" s="474"/>
    </row>
    <row r="42" spans="1:13" ht="12" customHeight="1">
      <c r="A42" s="474"/>
      <c r="B42" s="521" t="s">
        <v>513</v>
      </c>
      <c r="C42" s="423">
        <f>(C4-1)*C10</f>
        <v>0</v>
      </c>
      <c r="D42" s="417"/>
      <c r="E42" s="413">
        <f t="shared" si="1"/>
        <v>0</v>
      </c>
      <c r="F42" s="716"/>
      <c r="G42" s="508"/>
      <c r="H42" s="508"/>
      <c r="I42" s="508"/>
      <c r="J42" s="508"/>
      <c r="K42" s="508"/>
      <c r="L42" s="474"/>
      <c r="M42" s="474"/>
    </row>
    <row r="43" spans="1:13" ht="12" customHeight="1">
      <c r="A43" s="474"/>
      <c r="B43" s="521" t="s">
        <v>514</v>
      </c>
      <c r="C43" s="423">
        <f>(C4-1)*C10</f>
        <v>0</v>
      </c>
      <c r="D43" s="417"/>
      <c r="E43" s="413">
        <f t="shared" si="1"/>
        <v>0</v>
      </c>
      <c r="F43" s="717"/>
      <c r="G43" s="508"/>
      <c r="H43" s="508"/>
      <c r="I43" s="508"/>
      <c r="J43" s="508"/>
      <c r="K43" s="508"/>
      <c r="L43" s="474"/>
      <c r="M43" s="474"/>
    </row>
    <row r="44" spans="1:13" ht="12" customHeight="1">
      <c r="A44" s="474"/>
      <c r="B44" s="521" t="s">
        <v>385</v>
      </c>
      <c r="C44" s="468">
        <f>C8*C10</f>
        <v>0</v>
      </c>
      <c r="D44" s="422"/>
      <c r="E44" s="469">
        <f t="shared" si="1"/>
        <v>0</v>
      </c>
      <c r="F44" s="717"/>
      <c r="G44" s="508"/>
      <c r="H44" s="508"/>
      <c r="I44" s="508"/>
      <c r="J44" s="508"/>
      <c r="K44" s="508"/>
      <c r="L44" s="474"/>
      <c r="M44" s="474"/>
    </row>
    <row r="45" spans="1:13" ht="12" customHeight="1">
      <c r="A45" s="474"/>
      <c r="B45" s="521" t="s">
        <v>393</v>
      </c>
      <c r="C45" s="468">
        <f>C6*C10</f>
        <v>0</v>
      </c>
      <c r="D45" s="422"/>
      <c r="E45" s="469">
        <f t="shared" si="1"/>
        <v>0</v>
      </c>
      <c r="F45" s="717"/>
      <c r="G45" s="508"/>
      <c r="H45" s="508"/>
      <c r="I45" s="508"/>
      <c r="J45" s="508"/>
      <c r="K45" s="508"/>
      <c r="L45" s="474"/>
      <c r="M45" s="474"/>
    </row>
    <row r="46" spans="1:13" ht="12" customHeight="1">
      <c r="A46" s="474"/>
      <c r="B46" s="521" t="s">
        <v>394</v>
      </c>
      <c r="C46" s="468">
        <f>C6*C10</f>
        <v>0</v>
      </c>
      <c r="D46" s="422"/>
      <c r="E46" s="469">
        <f t="shared" si="1"/>
        <v>0</v>
      </c>
      <c r="F46" s="717"/>
      <c r="G46" s="508"/>
      <c r="H46" s="508"/>
      <c r="I46" s="508"/>
      <c r="J46" s="508"/>
      <c r="K46" s="508"/>
      <c r="L46" s="474"/>
      <c r="M46" s="474"/>
    </row>
    <row r="47" spans="1:13" ht="12" customHeight="1">
      <c r="A47" s="474"/>
      <c r="B47" s="521" t="s">
        <v>384</v>
      </c>
      <c r="C47" s="468">
        <f>C7*C10</f>
        <v>0</v>
      </c>
      <c r="D47" s="422"/>
      <c r="E47" s="469">
        <f t="shared" si="1"/>
        <v>0</v>
      </c>
      <c r="F47" s="717"/>
      <c r="G47" s="508"/>
      <c r="H47" s="508"/>
      <c r="I47" s="508"/>
      <c r="J47" s="508"/>
      <c r="K47" s="508"/>
      <c r="L47" s="474"/>
      <c r="M47" s="474"/>
    </row>
    <row r="48" spans="1:13" ht="12" customHeight="1">
      <c r="A48" s="474"/>
      <c r="B48" s="521" t="s">
        <v>461</v>
      </c>
      <c r="C48" s="423">
        <f>(C5+C6)*C10</f>
        <v>0</v>
      </c>
      <c r="D48" s="417"/>
      <c r="E48" s="413">
        <f t="shared" si="1"/>
        <v>0</v>
      </c>
      <c r="F48" s="717"/>
      <c r="G48" s="508"/>
      <c r="H48" s="508"/>
      <c r="I48" s="508"/>
      <c r="J48" s="508"/>
      <c r="K48" s="508"/>
      <c r="L48" s="474"/>
      <c r="M48" s="474"/>
    </row>
    <row r="49" spans="1:13" ht="12" customHeight="1">
      <c r="A49" s="474"/>
      <c r="B49" s="521" t="s">
        <v>382</v>
      </c>
      <c r="C49" s="423">
        <f>C6*C10</f>
        <v>0</v>
      </c>
      <c r="D49" s="417"/>
      <c r="E49" s="413">
        <f t="shared" si="1"/>
        <v>0</v>
      </c>
      <c r="F49" s="717"/>
      <c r="G49" s="508"/>
      <c r="H49" s="508"/>
      <c r="I49" s="508"/>
      <c r="J49" s="508"/>
      <c r="K49" s="508"/>
      <c r="L49" s="474"/>
      <c r="M49" s="474"/>
    </row>
    <row r="50" spans="1:13" ht="12" customHeight="1">
      <c r="A50" s="474"/>
      <c r="B50" s="521" t="s">
        <v>502</v>
      </c>
      <c r="C50" s="423">
        <f>C6*C10</f>
        <v>0</v>
      </c>
      <c r="D50" s="417"/>
      <c r="E50" s="413">
        <f t="shared" si="1"/>
        <v>0</v>
      </c>
      <c r="F50" s="711"/>
      <c r="G50" s="508"/>
      <c r="H50" s="508"/>
      <c r="I50" s="508"/>
      <c r="J50" s="508"/>
      <c r="K50" s="508"/>
      <c r="L50" s="474"/>
      <c r="M50" s="474"/>
    </row>
    <row r="51" spans="1:13" ht="12" customHeight="1">
      <c r="A51" s="474"/>
      <c r="B51" s="521" t="s">
        <v>387</v>
      </c>
      <c r="C51" s="423">
        <f>C5*C10</f>
        <v>0</v>
      </c>
      <c r="D51" s="417"/>
      <c r="E51" s="413">
        <f t="shared" si="1"/>
        <v>0</v>
      </c>
      <c r="F51" s="716"/>
      <c r="G51" s="508"/>
      <c r="H51" s="508"/>
      <c r="I51" s="508"/>
      <c r="J51" s="508"/>
      <c r="K51" s="508"/>
      <c r="L51" s="474"/>
      <c r="M51" s="474"/>
    </row>
    <row r="52" spans="1:13" ht="12" customHeight="1">
      <c r="A52" s="474"/>
      <c r="B52" s="594" t="s">
        <v>145</v>
      </c>
      <c r="C52" s="575">
        <f>C15</f>
        <v>0</v>
      </c>
      <c r="D52" s="591"/>
      <c r="E52" s="469">
        <f t="shared" si="1"/>
        <v>0</v>
      </c>
      <c r="F52" s="716"/>
      <c r="G52" s="508"/>
      <c r="H52" s="508"/>
      <c r="I52" s="508"/>
      <c r="J52" s="508"/>
      <c r="K52" s="508"/>
      <c r="L52" s="474"/>
      <c r="M52" s="474"/>
    </row>
    <row r="53" spans="1:13" ht="12" customHeight="1">
      <c r="A53" s="474"/>
      <c r="B53" s="594" t="s">
        <v>148</v>
      </c>
      <c r="C53" s="575">
        <f>C14</f>
        <v>0</v>
      </c>
      <c r="D53" s="591"/>
      <c r="E53" s="469">
        <f t="shared" si="1"/>
        <v>0</v>
      </c>
      <c r="F53" s="716"/>
      <c r="G53" s="508"/>
      <c r="H53" s="508"/>
      <c r="I53" s="508"/>
      <c r="J53" s="508"/>
      <c r="K53" s="508"/>
      <c r="L53" s="474"/>
      <c r="M53" s="474"/>
    </row>
    <row r="54" spans="1:13" ht="12" customHeight="1">
      <c r="A54" s="474"/>
      <c r="B54" s="594" t="s">
        <v>696</v>
      </c>
      <c r="C54" s="575">
        <f>C16</f>
        <v>0</v>
      </c>
      <c r="D54" s="591"/>
      <c r="E54" s="469">
        <f t="shared" si="1"/>
        <v>0</v>
      </c>
      <c r="F54" s="716"/>
      <c r="G54" s="508"/>
      <c r="H54" s="508"/>
      <c r="I54" s="508"/>
      <c r="J54" s="508"/>
      <c r="K54" s="508"/>
      <c r="L54" s="474"/>
      <c r="M54" s="474"/>
    </row>
    <row r="55" spans="1:13" ht="12" customHeight="1" thickBot="1">
      <c r="A55" s="474"/>
      <c r="B55" s="523" t="s">
        <v>837</v>
      </c>
      <c r="C55" s="471">
        <f>C5*C10</f>
        <v>0</v>
      </c>
      <c r="D55" s="472"/>
      <c r="E55" s="473">
        <f t="shared" si="1"/>
        <v>0</v>
      </c>
      <c r="F55" s="716"/>
      <c r="G55" s="508"/>
      <c r="H55" s="508"/>
      <c r="I55" s="508"/>
      <c r="J55" s="508"/>
      <c r="K55" s="508"/>
      <c r="L55" s="474"/>
      <c r="M55" s="474"/>
    </row>
    <row r="56" spans="1:13" ht="12" customHeight="1" thickBot="1">
      <c r="A56" s="474"/>
      <c r="B56" s="508"/>
      <c r="C56" s="508"/>
      <c r="D56" s="524" t="s">
        <v>9</v>
      </c>
      <c r="E56" s="596">
        <f>SUMIF(E19:E55,"&gt;0",E19:E55)</f>
        <v>0</v>
      </c>
      <c r="F56" s="716"/>
      <c r="G56" s="508"/>
      <c r="H56" s="508"/>
      <c r="I56" s="508"/>
      <c r="J56" s="508"/>
      <c r="K56" s="508"/>
      <c r="L56" s="474"/>
      <c r="M56" s="474"/>
    </row>
    <row r="57" spans="1:13">
      <c r="A57" s="474"/>
      <c r="B57" s="508"/>
      <c r="C57" s="508"/>
      <c r="D57" s="508"/>
      <c r="E57" s="508"/>
      <c r="F57" s="717"/>
      <c r="G57" s="508"/>
      <c r="H57" s="508"/>
      <c r="I57" s="508"/>
      <c r="J57" s="508"/>
      <c r="K57" s="508"/>
      <c r="L57" s="474"/>
      <c r="M57" s="474"/>
    </row>
    <row r="58" spans="1:13">
      <c r="A58" s="474"/>
      <c r="B58" s="508"/>
      <c r="C58" s="508"/>
      <c r="D58" s="508"/>
      <c r="E58" s="508"/>
      <c r="F58" s="508"/>
      <c r="G58" s="508"/>
      <c r="H58" s="508"/>
      <c r="I58" s="508"/>
      <c r="J58" s="508"/>
      <c r="K58" s="508"/>
      <c r="L58" s="474"/>
      <c r="M58" s="474"/>
    </row>
    <row r="59" spans="1:13" ht="11.25" customHeight="1">
      <c r="A59" s="474"/>
      <c r="B59" s="474"/>
      <c r="C59" s="474"/>
      <c r="D59" s="474"/>
      <c r="E59" s="474"/>
      <c r="F59" s="474"/>
      <c r="G59" s="474"/>
      <c r="H59" s="474"/>
      <c r="I59" s="474"/>
      <c r="J59" s="474"/>
      <c r="K59" s="474"/>
      <c r="L59" s="474"/>
      <c r="M59" s="474"/>
    </row>
    <row r="60" spans="1:13" ht="11.25" customHeight="1">
      <c r="A60" s="474"/>
      <c r="B60" s="474"/>
      <c r="C60" s="474"/>
      <c r="D60" s="474"/>
      <c r="E60" s="474"/>
      <c r="F60" s="474"/>
      <c r="G60" s="474"/>
      <c r="H60" s="474"/>
      <c r="I60" s="474"/>
      <c r="J60" s="474"/>
      <c r="K60" s="474"/>
      <c r="L60" s="474"/>
      <c r="M60" s="474"/>
    </row>
    <row r="61" spans="1:13">
      <c r="A61" s="474"/>
      <c r="B61" s="474"/>
      <c r="C61" s="474"/>
      <c r="D61" s="474"/>
      <c r="E61" s="474"/>
      <c r="F61" s="474"/>
      <c r="G61" s="474"/>
      <c r="H61" s="474"/>
      <c r="I61" s="474"/>
      <c r="J61" s="474"/>
      <c r="K61" s="474"/>
      <c r="L61" s="474"/>
      <c r="M61" s="474"/>
    </row>
    <row r="62" spans="1:13">
      <c r="A62" s="474"/>
      <c r="B62" s="474"/>
      <c r="C62" s="474"/>
      <c r="D62" s="474"/>
      <c r="E62" s="474"/>
      <c r="F62" s="474"/>
      <c r="G62" s="474"/>
      <c r="H62" s="474"/>
      <c r="I62" s="474"/>
      <c r="J62" s="474"/>
      <c r="K62" s="474"/>
      <c r="L62" s="474"/>
      <c r="M62" s="474"/>
    </row>
    <row r="63" spans="1:13" ht="11.25" customHeight="1">
      <c r="A63" s="474"/>
      <c r="B63" s="474"/>
      <c r="C63" s="474"/>
      <c r="D63" s="474"/>
      <c r="E63" s="474"/>
      <c r="F63" s="474"/>
      <c r="G63" s="474"/>
      <c r="H63" s="474"/>
      <c r="I63" s="474"/>
      <c r="J63" s="474"/>
      <c r="K63" s="474"/>
      <c r="L63" s="474"/>
      <c r="M63" s="474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189" priority="34" operator="greaterThan">
      <formula>0</formula>
    </cfRule>
  </conditionalFormatting>
  <conditionalFormatting sqref="C9">
    <cfRule type="cellIs" dxfId="188" priority="30" operator="greaterThan">
      <formula>0</formula>
    </cfRule>
  </conditionalFormatting>
  <conditionalFormatting sqref="C9">
    <cfRule type="cellIs" dxfId="187" priority="33" operator="greaterThan">
      <formula>0</formula>
    </cfRule>
  </conditionalFormatting>
  <conditionalFormatting sqref="C9">
    <cfRule type="cellIs" dxfId="186" priority="32" operator="greaterThan">
      <formula>0</formula>
    </cfRule>
  </conditionalFormatting>
  <conditionalFormatting sqref="C9">
    <cfRule type="cellIs" dxfId="185" priority="31" operator="greaterThan">
      <formula>0</formula>
    </cfRule>
  </conditionalFormatting>
  <conditionalFormatting sqref="C2:C9">
    <cfRule type="cellIs" dxfId="184" priority="29" operator="greaterThan">
      <formula>0</formula>
    </cfRule>
  </conditionalFormatting>
  <conditionalFormatting sqref="C26:E26">
    <cfRule type="cellIs" dxfId="183" priority="26" operator="greaterThan">
      <formula>0</formula>
    </cfRule>
  </conditionalFormatting>
  <conditionalFormatting sqref="C29:E29">
    <cfRule type="cellIs" dxfId="182" priority="25" operator="greaterThan">
      <formula>0</formula>
    </cfRule>
  </conditionalFormatting>
  <conditionalFormatting sqref="C32:E32">
    <cfRule type="cellIs" dxfId="181" priority="21" operator="greaterThan">
      <formula>0</formula>
    </cfRule>
  </conditionalFormatting>
  <conditionalFormatting sqref="C26:E26">
    <cfRule type="cellIs" dxfId="180" priority="27" operator="greaterThan">
      <formula>0</formula>
    </cfRule>
  </conditionalFormatting>
  <conditionalFormatting sqref="C26:E26">
    <cfRule type="cellIs" dxfId="179" priority="28" operator="greaterThan">
      <formula>0</formula>
    </cfRule>
  </conditionalFormatting>
  <conditionalFormatting sqref="C32:E32">
    <cfRule type="cellIs" dxfId="178" priority="22" operator="greaterThan">
      <formula>0</formula>
    </cfRule>
    <cfRule type="cellIs" dxfId="177" priority="23" operator="greaterThan">
      <formula>0</formula>
    </cfRule>
    <cfRule type="cellIs" dxfId="176" priority="24" operator="greaterThan">
      <formula>0</formula>
    </cfRule>
  </conditionalFormatting>
  <conditionalFormatting sqref="C44:E47">
    <cfRule type="cellIs" dxfId="175" priority="14" operator="greaterThan">
      <formula>0</formula>
    </cfRule>
  </conditionalFormatting>
  <conditionalFormatting sqref="C45:E46">
    <cfRule type="cellIs" dxfId="174" priority="19" operator="greaterThan">
      <formula>0</formula>
    </cfRule>
  </conditionalFormatting>
  <conditionalFormatting sqref="C44:E44">
    <cfRule type="cellIs" dxfId="173" priority="20" operator="greaterThan">
      <formula>0</formula>
    </cfRule>
  </conditionalFormatting>
  <conditionalFormatting sqref="C47:E47">
    <cfRule type="cellIs" dxfId="172" priority="18" operator="greaterThan">
      <formula>0</formula>
    </cfRule>
  </conditionalFormatting>
  <conditionalFormatting sqref="C44:E47">
    <cfRule type="cellIs" dxfId="171" priority="15" operator="greaterThan">
      <formula>0</formula>
    </cfRule>
    <cfRule type="cellIs" dxfId="170" priority="16" operator="greaterThan">
      <formula>0</formula>
    </cfRule>
    <cfRule type="cellIs" dxfId="169" priority="17" operator="greaterThan">
      <formula>0</formula>
    </cfRule>
  </conditionalFormatting>
  <conditionalFormatting sqref="C44:E47">
    <cfRule type="cellIs" dxfId="168" priority="13" operator="greaterThan">
      <formula>0</formula>
    </cfRule>
  </conditionalFormatting>
  <conditionalFormatting sqref="J3:K17">
    <cfRule type="cellIs" dxfId="167" priority="3" operator="greaterThan">
      <formula>0</formula>
    </cfRule>
    <cfRule type="cellIs" dxfId="166" priority="7" operator="greaterThan">
      <formula>0</formula>
    </cfRule>
    <cfRule type="cellIs" dxfId="165" priority="8" operator="greaterThan">
      <formula>0</formula>
    </cfRule>
    <cfRule type="cellIs" dxfId="164" priority="9" operator="greaterThan">
      <formula>0</formula>
    </cfRule>
  </conditionalFormatting>
  <conditionalFormatting sqref="I3:I17">
    <cfRule type="cellIs" dxfId="163" priority="10" operator="equal">
      <formula>"НЕТ"</formula>
    </cfRule>
    <cfRule type="cellIs" dxfId="162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161" priority="6" operator="greaterThan">
      <formula>0</formula>
    </cfRule>
  </conditionalFormatting>
  <conditionalFormatting sqref="C19:E51 C55:E55">
    <cfRule type="cellIs" dxfId="160" priority="5" operator="greaterThan">
      <formula>0</formula>
    </cfRule>
  </conditionalFormatting>
  <conditionalFormatting sqref="E56">
    <cfRule type="cellIs" dxfId="159" priority="4" operator="greaterThan">
      <formula>0</formula>
    </cfRule>
  </conditionalFormatting>
  <conditionalFormatting sqref="C14:C16">
    <cfRule type="cellIs" dxfId="158" priority="2" operator="greaterThan">
      <formula>0</formula>
    </cfRule>
  </conditionalFormatting>
  <conditionalFormatting sqref="C52:E54">
    <cfRule type="cellIs" dxfId="15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9" activePane="bottomLeft" state="frozen"/>
      <selection pane="bottomLeft" activeCell="C34" sqref="C34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74"/>
      <c r="B1" s="1171"/>
      <c r="C1" s="1172"/>
      <c r="D1" s="1172"/>
      <c r="E1" s="1172"/>
      <c r="F1" s="474"/>
      <c r="G1" s="474"/>
      <c r="H1" s="474"/>
      <c r="I1" s="474"/>
      <c r="J1" s="474"/>
      <c r="K1" s="474"/>
    </row>
    <row r="2" spans="1:11" ht="12" customHeight="1" thickBot="1">
      <c r="A2" s="474"/>
      <c r="B2" s="476" t="s">
        <v>673</v>
      </c>
      <c r="C2" s="660">
        <v>0</v>
      </c>
      <c r="D2" s="1116" t="s">
        <v>602</v>
      </c>
      <c r="E2" s="1117"/>
      <c r="F2" s="1118"/>
      <c r="G2" s="508"/>
      <c r="H2" s="478" t="s">
        <v>492</v>
      </c>
      <c r="I2" s="757" t="s">
        <v>611</v>
      </c>
      <c r="J2" s="479" t="s">
        <v>4</v>
      </c>
      <c r="K2" s="480" t="s">
        <v>8</v>
      </c>
    </row>
    <row r="3" spans="1:11" ht="12" customHeight="1" thickBot="1">
      <c r="A3" s="474"/>
      <c r="B3" s="481" t="s">
        <v>674</v>
      </c>
      <c r="C3" s="528">
        <v>0</v>
      </c>
      <c r="D3" s="1119"/>
      <c r="E3" s="1120"/>
      <c r="F3" s="1121"/>
      <c r="G3" s="508"/>
      <c r="H3" s="482" t="s">
        <v>496</v>
      </c>
      <c r="I3" s="692" t="str">
        <f>IF(AND($C$6+$C$7=1,$C$8+$C$9=0,$C$10=1),"ДА","НЕТ")</f>
        <v>НЕТ</v>
      </c>
      <c r="J3" s="387"/>
      <c r="K3" s="388">
        <f>IF(I3="ДА",($C$4+$C$5)*J3,0)</f>
        <v>0</v>
      </c>
    </row>
    <row r="4" spans="1:11" ht="12" customHeight="1">
      <c r="A4" s="474"/>
      <c r="B4" s="476" t="s">
        <v>516</v>
      </c>
      <c r="C4" s="655">
        <v>0</v>
      </c>
      <c r="D4" s="1179" t="s">
        <v>128</v>
      </c>
      <c r="E4" s="1180"/>
      <c r="F4" s="1181"/>
      <c r="G4" s="508"/>
      <c r="H4" s="487" t="s">
        <v>493</v>
      </c>
      <c r="I4" s="693" t="str">
        <f>IF(AND($C$6+$C$7=1,$C$8+$C$9=0,$C$10=3),"ДА","НЕТ")</f>
        <v>НЕТ</v>
      </c>
      <c r="J4" s="394"/>
      <c r="K4" s="388">
        <f t="shared" ref="K4:K15" si="0">IF(I4="ДА",($C$4+$C$5)*J4,0)</f>
        <v>0</v>
      </c>
    </row>
    <row r="5" spans="1:11" ht="12" customHeight="1" thickBot="1">
      <c r="A5" s="474"/>
      <c r="B5" s="509" t="s">
        <v>517</v>
      </c>
      <c r="C5" s="657">
        <v>0</v>
      </c>
      <c r="D5" s="1185"/>
      <c r="E5" s="1186"/>
      <c r="F5" s="1187"/>
      <c r="G5" s="508"/>
      <c r="H5" s="487" t="s">
        <v>598</v>
      </c>
      <c r="I5" s="693" t="str">
        <f>IF(AND($C$6+$C$7=1,$C$8+$C$9=0,$C$10=3),"ДА","НЕТ")</f>
        <v>НЕТ</v>
      </c>
      <c r="J5" s="394"/>
      <c r="K5" s="388">
        <f t="shared" si="0"/>
        <v>0</v>
      </c>
    </row>
    <row r="6" spans="1:11" ht="12" customHeight="1">
      <c r="A6" s="474"/>
      <c r="B6" s="476" t="s">
        <v>505</v>
      </c>
      <c r="C6" s="676">
        <v>0</v>
      </c>
      <c r="D6" s="489" t="s">
        <v>294</v>
      </c>
      <c r="E6" s="694" t="s">
        <v>256</v>
      </c>
      <c r="F6" s="1125" t="s">
        <v>604</v>
      </c>
      <c r="G6" s="508"/>
      <c r="H6" s="487" t="s">
        <v>494</v>
      </c>
      <c r="I6" s="693" t="str">
        <f>IF(AND($C$6+$C$7=1,$C$8+$C$9=0,$C$10=2),"ДА","НЕТ")</f>
        <v>НЕТ</v>
      </c>
      <c r="J6" s="394"/>
      <c r="K6" s="388">
        <f t="shared" si="0"/>
        <v>0</v>
      </c>
    </row>
    <row r="7" spans="1:11" ht="12" customHeight="1">
      <c r="A7" s="474"/>
      <c r="B7" s="486" t="s">
        <v>506</v>
      </c>
      <c r="C7" s="530">
        <v>0</v>
      </c>
      <c r="D7" s="493" t="s">
        <v>294</v>
      </c>
      <c r="E7" s="713" t="s">
        <v>256</v>
      </c>
      <c r="F7" s="1125"/>
      <c r="G7" s="508"/>
      <c r="H7" s="487" t="s">
        <v>495</v>
      </c>
      <c r="I7" s="693" t="str">
        <f>IF(AND($C$6+$C$7=1,$C$8+$C$9=0,$C$10=2),"ДА","НЕТ")</f>
        <v>НЕТ</v>
      </c>
      <c r="J7" s="394"/>
      <c r="K7" s="388">
        <f t="shared" si="0"/>
        <v>0</v>
      </c>
    </row>
    <row r="8" spans="1:11" ht="12" customHeight="1">
      <c r="A8" s="474"/>
      <c r="B8" s="488" t="s">
        <v>507</v>
      </c>
      <c r="C8" s="531">
        <v>0</v>
      </c>
      <c r="D8" s="491" t="s">
        <v>294</v>
      </c>
      <c r="E8" s="759" t="s">
        <v>256</v>
      </c>
      <c r="F8" s="1125"/>
      <c r="G8" s="508"/>
      <c r="H8" s="487" t="s">
        <v>501</v>
      </c>
      <c r="I8" s="693" t="str">
        <f>IF(AND($C$6+$C$7=1,$C$8+$C$9=0,$C$10=2),"ДА","НЕТ")</f>
        <v>НЕТ</v>
      </c>
      <c r="J8" s="394"/>
      <c r="K8" s="388">
        <f t="shared" si="0"/>
        <v>0</v>
      </c>
    </row>
    <row r="9" spans="1:11" ht="12" customHeight="1" thickBot="1">
      <c r="A9" s="474"/>
      <c r="B9" s="481" t="s">
        <v>508</v>
      </c>
      <c r="C9" s="532">
        <v>0</v>
      </c>
      <c r="D9" s="496" t="s">
        <v>294</v>
      </c>
      <c r="E9" s="789" t="s">
        <v>256</v>
      </c>
      <c r="F9" s="1126"/>
      <c r="G9" s="508"/>
      <c r="H9" s="482" t="s">
        <v>597</v>
      </c>
      <c r="I9" s="693" t="str">
        <f>IF(AND($C$6+$C$7=1,$C$8+$C$9=0,$C$10=1),"ДА","НЕТ")</f>
        <v>НЕТ</v>
      </c>
      <c r="J9" s="387"/>
      <c r="K9" s="388">
        <f t="shared" si="0"/>
        <v>0</v>
      </c>
    </row>
    <row r="10" spans="1:11" ht="12" customHeight="1" thickBot="1">
      <c r="A10" s="474"/>
      <c r="B10" s="498" t="s">
        <v>596</v>
      </c>
      <c r="C10" s="617">
        <v>0</v>
      </c>
      <c r="D10" s="502" t="s">
        <v>626</v>
      </c>
      <c r="E10" s="790" t="s">
        <v>627</v>
      </c>
      <c r="F10" s="505" t="s">
        <v>628</v>
      </c>
      <c r="G10" s="508"/>
      <c r="H10" s="482" t="s">
        <v>390</v>
      </c>
      <c r="I10" s="693" t="str">
        <f>IF(AND($C$6+$C$7=0,$C$8+$C$9=1,$C$10=1),"ДА","НЕТ")</f>
        <v>НЕТ</v>
      </c>
      <c r="J10" s="394"/>
      <c r="K10" s="388">
        <f t="shared" si="0"/>
        <v>0</v>
      </c>
    </row>
    <row r="11" spans="1:11" ht="12" customHeight="1" thickBot="1">
      <c r="A11" s="474"/>
      <c r="B11" s="484" t="s">
        <v>400</v>
      </c>
      <c r="C11" s="529">
        <v>0</v>
      </c>
      <c r="D11" s="769" t="s">
        <v>401</v>
      </c>
      <c r="E11" s="788" t="s">
        <v>402</v>
      </c>
      <c r="F11" s="1192"/>
      <c r="G11" s="508"/>
      <c r="H11" s="485" t="s">
        <v>391</v>
      </c>
      <c r="I11" s="693" t="str">
        <f>IF(AND($C$6+$C$7=0,$C$8+$C$9=1,$C$10=1),"ДА","НЕТ")</f>
        <v>НЕТ</v>
      </c>
      <c r="J11" s="394"/>
      <c r="K11" s="388">
        <f t="shared" si="0"/>
        <v>0</v>
      </c>
    </row>
    <row r="12" spans="1:11" ht="12" customHeight="1" thickBot="1">
      <c r="A12" s="474"/>
      <c r="B12" s="498" t="s">
        <v>365</v>
      </c>
      <c r="C12" s="534">
        <v>0</v>
      </c>
      <c r="D12" s="502" t="s">
        <v>424</v>
      </c>
      <c r="E12" s="505" t="s">
        <v>425</v>
      </c>
      <c r="F12" s="1193"/>
      <c r="G12" s="508"/>
      <c r="H12" s="485" t="s">
        <v>392</v>
      </c>
      <c r="I12" s="693" t="str">
        <f>IF(AND($C$6+$C$7=0,$C$8+$C$9=1,$C$10=1),"ДА","НЕТ")</f>
        <v>НЕТ</v>
      </c>
      <c r="J12" s="397"/>
      <c r="K12" s="388">
        <f t="shared" si="0"/>
        <v>0</v>
      </c>
    </row>
    <row r="13" spans="1:11" ht="12" customHeight="1" thickBot="1">
      <c r="A13" s="474"/>
      <c r="B13" s="498" t="s">
        <v>123</v>
      </c>
      <c r="C13" s="635">
        <v>0</v>
      </c>
      <c r="D13" s="1168" t="s">
        <v>682</v>
      </c>
      <c r="E13" s="1169"/>
      <c r="F13" s="1170"/>
      <c r="G13" s="508"/>
      <c r="H13" s="482" t="s">
        <v>395</v>
      </c>
      <c r="I13" s="693" t="str">
        <f>IF(AND($C$6+$C$7=0,$C$8+$C$9=1,$C$10=2),"ДА","НЕТ")</f>
        <v>НЕТ</v>
      </c>
      <c r="J13" s="394"/>
      <c r="K13" s="388">
        <f t="shared" si="0"/>
        <v>0</v>
      </c>
    </row>
    <row r="14" spans="1:11" ht="12" customHeight="1" thickBot="1">
      <c r="A14" s="474"/>
      <c r="B14" s="760" t="s">
        <v>509</v>
      </c>
      <c r="C14" s="657">
        <v>0</v>
      </c>
      <c r="D14" s="1168" t="s">
        <v>547</v>
      </c>
      <c r="E14" s="1169"/>
      <c r="F14" s="1170"/>
      <c r="G14" s="508"/>
      <c r="H14" s="485" t="s">
        <v>396</v>
      </c>
      <c r="I14" s="693" t="str">
        <f>IF(AND($C$6+$C$7=0,$C$8+$C$9=1,$C$10=2),"ДА","НЕТ")</f>
        <v>НЕТ</v>
      </c>
      <c r="J14" s="394"/>
      <c r="K14" s="388">
        <f t="shared" si="0"/>
        <v>0</v>
      </c>
    </row>
    <row r="15" spans="1:11" ht="12" customHeight="1" thickBot="1">
      <c r="A15" s="474"/>
      <c r="B15" s="488" t="s">
        <v>404</v>
      </c>
      <c r="C15" s="531">
        <v>0</v>
      </c>
      <c r="D15" s="489" t="s">
        <v>294</v>
      </c>
      <c r="E15" s="694" t="s">
        <v>256</v>
      </c>
      <c r="F15" s="1137" t="s">
        <v>604</v>
      </c>
      <c r="G15" s="508"/>
      <c r="H15" s="506" t="s">
        <v>397</v>
      </c>
      <c r="I15" s="703" t="str">
        <f>IF(AND($C$6+$C$7=0,$C$8+$C$9=1,$C$10=2),"ДА","НЕТ")</f>
        <v>НЕТ</v>
      </c>
      <c r="J15" s="401"/>
      <c r="K15" s="544">
        <f t="shared" si="0"/>
        <v>0</v>
      </c>
    </row>
    <row r="16" spans="1:11" ht="12" customHeight="1" thickBot="1">
      <c r="A16" s="474"/>
      <c r="B16" s="481" t="s">
        <v>405</v>
      </c>
      <c r="C16" s="532">
        <v>0</v>
      </c>
      <c r="D16" s="496" t="s">
        <v>294</v>
      </c>
      <c r="E16" s="789" t="s">
        <v>256</v>
      </c>
      <c r="F16" s="1138"/>
      <c r="G16" s="508"/>
      <c r="H16" s="508"/>
      <c r="I16" s="508"/>
      <c r="J16" s="508"/>
      <c r="K16" s="508"/>
    </row>
    <row r="17" spans="1:11" ht="12" customHeight="1">
      <c r="A17" s="474"/>
      <c r="B17" s="476" t="s">
        <v>147</v>
      </c>
      <c r="C17" s="533">
        <v>0</v>
      </c>
      <c r="D17" s="1127" t="s">
        <v>693</v>
      </c>
      <c r="E17" s="1128"/>
      <c r="F17" s="1129"/>
      <c r="G17" s="508"/>
      <c r="H17" s="508"/>
      <c r="I17" s="508"/>
      <c r="J17" s="508"/>
      <c r="K17" s="508"/>
    </row>
    <row r="18" spans="1:11" ht="12" customHeight="1" thickBot="1">
      <c r="A18" s="474"/>
      <c r="B18" s="481" t="s">
        <v>146</v>
      </c>
      <c r="C18" s="532">
        <v>0</v>
      </c>
      <c r="D18" s="1133" t="s">
        <v>694</v>
      </c>
      <c r="E18" s="1134"/>
      <c r="F18" s="1135"/>
      <c r="G18" s="508"/>
      <c r="H18" s="508"/>
      <c r="I18" s="508"/>
      <c r="J18" s="508"/>
      <c r="K18" s="508"/>
    </row>
    <row r="19" spans="1:11" ht="12" customHeight="1" thickBot="1">
      <c r="A19" s="474"/>
      <c r="B19" s="708"/>
      <c r="C19" s="708"/>
      <c r="D19" s="708"/>
      <c r="E19" s="708"/>
      <c r="F19" s="508"/>
      <c r="G19" s="508"/>
      <c r="H19" s="508"/>
      <c r="I19" s="508"/>
      <c r="J19" s="508"/>
      <c r="K19" s="508"/>
    </row>
    <row r="20" spans="1:11" ht="12" customHeight="1" thickBot="1">
      <c r="A20" s="474"/>
      <c r="B20" s="563" t="s">
        <v>5</v>
      </c>
      <c r="C20" s="564" t="s">
        <v>0</v>
      </c>
      <c r="D20" s="565" t="s">
        <v>4</v>
      </c>
      <c r="E20" s="566" t="s">
        <v>8</v>
      </c>
      <c r="F20" s="508"/>
      <c r="G20" s="508"/>
      <c r="H20" s="508"/>
      <c r="I20" s="508"/>
      <c r="J20" s="508"/>
      <c r="K20" s="508"/>
    </row>
    <row r="21" spans="1:11" ht="12" customHeight="1">
      <c r="A21" s="474"/>
      <c r="B21" s="520" t="s">
        <v>408</v>
      </c>
      <c r="C21" s="416">
        <f>C2*C13</f>
        <v>0</v>
      </c>
      <c r="D21" s="422"/>
      <c r="E21" s="413">
        <f t="shared" ref="E21:E26" si="1">C21*D21</f>
        <v>0</v>
      </c>
      <c r="F21" s="508"/>
      <c r="G21" s="508"/>
      <c r="H21" s="508"/>
      <c r="I21" s="508"/>
      <c r="J21" s="508"/>
      <c r="K21" s="508"/>
    </row>
    <row r="22" spans="1:11" ht="12" customHeight="1">
      <c r="A22" s="474"/>
      <c r="B22" s="520" t="s">
        <v>409</v>
      </c>
      <c r="C22" s="416">
        <f>IF(C16=1,C2*C13,0)</f>
        <v>0</v>
      </c>
      <c r="D22" s="422"/>
      <c r="E22" s="413">
        <f t="shared" si="1"/>
        <v>0</v>
      </c>
      <c r="F22" s="508"/>
      <c r="G22" s="508"/>
      <c r="H22" s="508"/>
      <c r="I22" s="508"/>
      <c r="J22" s="508"/>
      <c r="K22" s="508"/>
    </row>
    <row r="23" spans="1:11" ht="12" customHeight="1">
      <c r="A23" s="474"/>
      <c r="B23" s="518" t="s">
        <v>406</v>
      </c>
      <c r="C23" s="411">
        <f>IF(AND(C15=1,C16=0),(C4+C5)*C13*2,0)</f>
        <v>0</v>
      </c>
      <c r="D23" s="422"/>
      <c r="E23" s="413">
        <f t="shared" si="1"/>
        <v>0</v>
      </c>
      <c r="F23" s="508"/>
      <c r="G23" s="508"/>
      <c r="H23" s="508"/>
      <c r="I23" s="508"/>
      <c r="J23" s="508"/>
      <c r="K23" s="508"/>
    </row>
    <row r="24" spans="1:11" ht="12" customHeight="1">
      <c r="A24" s="474"/>
      <c r="B24" s="518" t="s">
        <v>407</v>
      </c>
      <c r="C24" s="411">
        <f>IF(AND(C15=0,C16=1),(C4+C5)*C13,0)</f>
        <v>0</v>
      </c>
      <c r="D24" s="422"/>
      <c r="E24" s="413">
        <f t="shared" si="1"/>
        <v>0</v>
      </c>
      <c r="F24" s="508"/>
      <c r="G24" s="508"/>
      <c r="H24" s="508"/>
      <c r="I24" s="508"/>
      <c r="J24" s="508"/>
      <c r="K24" s="508"/>
    </row>
    <row r="25" spans="1:11" ht="12" customHeight="1">
      <c r="A25" s="474"/>
      <c r="B25" s="520" t="s">
        <v>426</v>
      </c>
      <c r="C25" s="416">
        <f>EVEN(ROUNDDOWN(IF(C13&gt;0,(C2/0.5)*C13,0),0))</f>
        <v>0</v>
      </c>
      <c r="D25" s="417"/>
      <c r="E25" s="413">
        <f t="shared" si="1"/>
        <v>0</v>
      </c>
      <c r="F25" s="508"/>
      <c r="G25" s="508"/>
      <c r="H25" s="508"/>
      <c r="I25" s="508"/>
      <c r="J25" s="508"/>
      <c r="K25" s="508"/>
    </row>
    <row r="26" spans="1:11" ht="12" customHeight="1">
      <c r="A26" s="474"/>
      <c r="B26" s="518" t="s">
        <v>429</v>
      </c>
      <c r="C26" s="423">
        <f>C2*C13</f>
        <v>0</v>
      </c>
      <c r="D26" s="417"/>
      <c r="E26" s="413">
        <f t="shared" si="1"/>
        <v>0</v>
      </c>
      <c r="F26" s="508"/>
      <c r="G26" s="508"/>
      <c r="H26" s="508"/>
      <c r="I26" s="508"/>
      <c r="J26" s="508"/>
      <c r="K26" s="508"/>
    </row>
    <row r="27" spans="1:11" ht="12" customHeight="1">
      <c r="A27" s="474"/>
      <c r="B27" s="520" t="s">
        <v>427</v>
      </c>
      <c r="C27" s="416">
        <f>IF(AND(C6+C7&gt;0,C8+C9=0,C12=0),C13*2,0)</f>
        <v>0</v>
      </c>
      <c r="D27" s="422"/>
      <c r="E27" s="413">
        <f t="shared" ref="E27:E56" si="2">C27*D27</f>
        <v>0</v>
      </c>
      <c r="F27" s="508"/>
      <c r="G27" s="508"/>
      <c r="H27" s="508"/>
      <c r="I27" s="508"/>
      <c r="J27" s="508"/>
      <c r="K27" s="508"/>
    </row>
    <row r="28" spans="1:11" ht="12" customHeight="1">
      <c r="A28" s="474"/>
      <c r="B28" s="520" t="s">
        <v>428</v>
      </c>
      <c r="C28" s="419">
        <f>IF(AND(C6+C7&gt;0,C8+C9=0,C12=1),C13*2,0)</f>
        <v>0</v>
      </c>
      <c r="D28" s="467"/>
      <c r="E28" s="413">
        <f t="shared" si="2"/>
        <v>0</v>
      </c>
      <c r="F28" s="508"/>
      <c r="G28" s="508"/>
      <c r="H28" s="508"/>
      <c r="I28" s="508"/>
      <c r="J28" s="508"/>
      <c r="K28" s="508"/>
    </row>
    <row r="29" spans="1:11" ht="12" customHeight="1">
      <c r="A29" s="474"/>
      <c r="B29" s="520" t="s">
        <v>427</v>
      </c>
      <c r="C29" s="416">
        <f>IF(AND(C6+C7=0,C8+C9&gt;0,C12=0),C13,0)</f>
        <v>0</v>
      </c>
      <c r="D29" s="422"/>
      <c r="E29" s="413">
        <f t="shared" si="2"/>
        <v>0</v>
      </c>
      <c r="F29" s="508"/>
      <c r="G29" s="508"/>
      <c r="H29" s="508"/>
      <c r="I29" s="508"/>
      <c r="J29" s="508"/>
      <c r="K29" s="508"/>
    </row>
    <row r="30" spans="1:11" ht="12" customHeight="1">
      <c r="A30" s="474"/>
      <c r="B30" s="520" t="s">
        <v>428</v>
      </c>
      <c r="C30" s="419">
        <f>IF(AND(C6+C7=0,C8+C9&gt;0,C12=1),C13,0)</f>
        <v>0</v>
      </c>
      <c r="D30" s="467"/>
      <c r="E30" s="413">
        <f t="shared" si="2"/>
        <v>0</v>
      </c>
      <c r="F30" s="508"/>
      <c r="G30" s="508"/>
      <c r="H30" s="508"/>
      <c r="I30" s="508"/>
      <c r="J30" s="508"/>
      <c r="K30" s="508"/>
    </row>
    <row r="31" spans="1:11" ht="12" customHeight="1">
      <c r="A31" s="474"/>
      <c r="B31" s="520" t="s">
        <v>520</v>
      </c>
      <c r="C31" s="416">
        <f>IF(AND(C6+C7&gt;0,C8+C9=0,C12=0),(((C4+C5)-1)+C14)*C13,0)</f>
        <v>0</v>
      </c>
      <c r="D31" s="422"/>
      <c r="E31" s="413">
        <f t="shared" si="2"/>
        <v>0</v>
      </c>
      <c r="F31" s="508"/>
      <c r="G31" s="508"/>
      <c r="H31" s="508"/>
      <c r="I31" s="508"/>
      <c r="J31" s="508"/>
      <c r="K31" s="508"/>
    </row>
    <row r="32" spans="1:11" ht="12" customHeight="1">
      <c r="A32" s="474"/>
      <c r="B32" s="520" t="s">
        <v>519</v>
      </c>
      <c r="C32" s="419">
        <f>IF(AND(C6+C7&gt;0,C8+C9=0,C12=1),(((C4+C5)-1)+C14)*C13,0)</f>
        <v>0</v>
      </c>
      <c r="D32" s="467"/>
      <c r="E32" s="413">
        <f t="shared" si="2"/>
        <v>0</v>
      </c>
      <c r="F32" s="508"/>
      <c r="G32" s="508"/>
      <c r="H32" s="508"/>
      <c r="I32" s="508"/>
      <c r="J32" s="508"/>
      <c r="K32" s="508"/>
    </row>
    <row r="33" spans="1:11" ht="12" customHeight="1">
      <c r="A33" s="474"/>
      <c r="B33" s="520" t="s">
        <v>520</v>
      </c>
      <c r="C33" s="416">
        <f>IF(AND(C6+C7=0,C8+C9&gt;0,C12=0),((C4+C5)+C14)*C13,0)</f>
        <v>0</v>
      </c>
      <c r="D33" s="422"/>
      <c r="E33" s="413">
        <f t="shared" si="2"/>
        <v>0</v>
      </c>
      <c r="F33" s="508"/>
      <c r="G33" s="508"/>
      <c r="H33" s="508"/>
      <c r="I33" s="508"/>
      <c r="J33" s="508"/>
      <c r="K33" s="508"/>
    </row>
    <row r="34" spans="1:11" ht="12" customHeight="1">
      <c r="A34" s="474"/>
      <c r="B34" s="520" t="s">
        <v>519</v>
      </c>
      <c r="C34" s="419">
        <f>IF(AND(C6+C7=0,C8+C9&gt;0,C12=1),((C4+C5)+C14)*C13,0)</f>
        <v>0</v>
      </c>
      <c r="D34" s="467"/>
      <c r="E34" s="413">
        <f t="shared" si="2"/>
        <v>0</v>
      </c>
      <c r="F34" s="508"/>
      <c r="G34" s="508"/>
      <c r="H34" s="508"/>
      <c r="I34" s="508"/>
      <c r="J34" s="508"/>
      <c r="K34" s="508"/>
    </row>
    <row r="35" spans="1:11" ht="12" customHeight="1">
      <c r="A35" s="474"/>
      <c r="B35" s="518" t="s">
        <v>687</v>
      </c>
      <c r="C35" s="419">
        <f>C13*2</f>
        <v>0</v>
      </c>
      <c r="D35" s="467"/>
      <c r="E35" s="413">
        <f t="shared" si="2"/>
        <v>0</v>
      </c>
      <c r="F35" s="508"/>
      <c r="G35" s="508"/>
      <c r="H35" s="508"/>
      <c r="I35" s="508"/>
      <c r="J35" s="508"/>
      <c r="K35" s="508"/>
    </row>
    <row r="36" spans="1:11" ht="12" customHeight="1">
      <c r="A36" s="474"/>
      <c r="B36" s="520" t="s">
        <v>521</v>
      </c>
      <c r="C36" s="416">
        <f>((C4+C5)-1)*C13</f>
        <v>0</v>
      </c>
      <c r="D36" s="422"/>
      <c r="E36" s="413">
        <f t="shared" si="2"/>
        <v>0</v>
      </c>
      <c r="F36" s="508"/>
      <c r="G36" s="508"/>
      <c r="H36" s="508"/>
      <c r="I36" s="508"/>
      <c r="J36" s="508"/>
      <c r="K36" s="508"/>
    </row>
    <row r="37" spans="1:11" ht="12" customHeight="1">
      <c r="A37" s="474"/>
      <c r="B37" s="749" t="s">
        <v>431</v>
      </c>
      <c r="C37" s="468">
        <f>((C4+C5)+1+C14)*C13*2</f>
        <v>0</v>
      </c>
      <c r="D37" s="326"/>
      <c r="E37" s="336">
        <v>0</v>
      </c>
      <c r="F37" s="508"/>
      <c r="G37" s="508"/>
      <c r="H37" s="508"/>
      <c r="I37" s="508"/>
      <c r="J37" s="508"/>
      <c r="K37" s="508"/>
    </row>
    <row r="38" spans="1:11" ht="12" customHeight="1">
      <c r="A38" s="474"/>
      <c r="B38" s="521" t="s">
        <v>513</v>
      </c>
      <c r="C38" s="468">
        <f>((C4+C5)-1+C14)*C13</f>
        <v>0</v>
      </c>
      <c r="D38" s="422"/>
      <c r="E38" s="469">
        <f t="shared" si="2"/>
        <v>0</v>
      </c>
      <c r="F38" s="508"/>
      <c r="G38" s="508"/>
      <c r="H38" s="508"/>
      <c r="I38" s="508"/>
      <c r="J38" s="508"/>
      <c r="K38" s="508"/>
    </row>
    <row r="39" spans="1:11" ht="12" customHeight="1">
      <c r="A39" s="474"/>
      <c r="B39" s="521" t="s">
        <v>688</v>
      </c>
      <c r="C39" s="468">
        <f>((C4+C5)+1+C14)*C13</f>
        <v>0</v>
      </c>
      <c r="D39" s="422"/>
      <c r="E39" s="469">
        <f>C39*D39</f>
        <v>0</v>
      </c>
      <c r="F39" s="508"/>
      <c r="G39" s="508"/>
      <c r="H39" s="508"/>
      <c r="I39" s="508"/>
      <c r="J39" s="508"/>
      <c r="K39" s="508"/>
    </row>
    <row r="40" spans="1:11" ht="12" customHeight="1">
      <c r="A40" s="474"/>
      <c r="B40" s="521" t="s">
        <v>689</v>
      </c>
      <c r="C40" s="468">
        <f>((C4+C5)-1)*C13</f>
        <v>0</v>
      </c>
      <c r="D40" s="422"/>
      <c r="E40" s="469">
        <f>C40*D40</f>
        <v>0</v>
      </c>
      <c r="F40" s="508"/>
      <c r="G40" s="508"/>
      <c r="H40" s="508"/>
      <c r="I40" s="508"/>
      <c r="J40" s="508"/>
      <c r="K40" s="508"/>
    </row>
    <row r="41" spans="1:11" ht="12" customHeight="1">
      <c r="A41" s="474"/>
      <c r="B41" s="521" t="s">
        <v>522</v>
      </c>
      <c r="C41" s="468">
        <f>((C4+C5)-1+C14)*C13</f>
        <v>0</v>
      </c>
      <c r="D41" s="422"/>
      <c r="E41" s="469">
        <f t="shared" si="2"/>
        <v>0</v>
      </c>
      <c r="F41" s="508"/>
      <c r="G41" s="508"/>
      <c r="H41" s="508"/>
      <c r="I41" s="508"/>
      <c r="J41" s="508"/>
      <c r="K41" s="508"/>
    </row>
    <row r="42" spans="1:11" ht="12" customHeight="1">
      <c r="A42" s="474"/>
      <c r="B42" s="521" t="s">
        <v>515</v>
      </c>
      <c r="C42" s="468">
        <f>C14*C13</f>
        <v>0</v>
      </c>
      <c r="D42" s="422"/>
      <c r="E42" s="469">
        <f t="shared" si="2"/>
        <v>0</v>
      </c>
      <c r="F42" s="508"/>
      <c r="G42" s="508"/>
      <c r="H42" s="508"/>
      <c r="I42" s="508"/>
      <c r="J42" s="508"/>
      <c r="K42" s="508"/>
    </row>
    <row r="43" spans="1:11" ht="12" customHeight="1">
      <c r="A43" s="474"/>
      <c r="B43" s="520" t="s">
        <v>512</v>
      </c>
      <c r="C43" s="416">
        <f>((C4+C5)-1)*C13</f>
        <v>0</v>
      </c>
      <c r="D43" s="422"/>
      <c r="E43" s="413">
        <f t="shared" si="2"/>
        <v>0</v>
      </c>
      <c r="F43" s="508"/>
      <c r="G43" s="508"/>
      <c r="H43" s="508"/>
      <c r="I43" s="508"/>
      <c r="J43" s="508"/>
      <c r="K43" s="508"/>
    </row>
    <row r="44" spans="1:11" ht="12" customHeight="1">
      <c r="A44" s="474"/>
      <c r="B44" s="520" t="s">
        <v>439</v>
      </c>
      <c r="C44" s="411">
        <f>IF(C5=0,(C36+C43+C50)*C13,0)</f>
        <v>0</v>
      </c>
      <c r="D44" s="465"/>
      <c r="E44" s="413">
        <f t="shared" si="2"/>
        <v>0</v>
      </c>
      <c r="F44" s="508"/>
      <c r="G44" s="508"/>
      <c r="H44" s="508"/>
      <c r="I44" s="508"/>
      <c r="J44" s="508"/>
      <c r="K44" s="508"/>
    </row>
    <row r="45" spans="1:11" ht="12" customHeight="1">
      <c r="A45" s="474"/>
      <c r="B45" s="520" t="s">
        <v>440</v>
      </c>
      <c r="C45" s="416">
        <f>IF(C5=0,(C36+C43+C50)*C13,0)</f>
        <v>0</v>
      </c>
      <c r="D45" s="422"/>
      <c r="E45" s="413">
        <f t="shared" si="2"/>
        <v>0</v>
      </c>
      <c r="F45" s="508"/>
      <c r="G45" s="508"/>
      <c r="H45" s="508"/>
      <c r="I45" s="508"/>
      <c r="J45" s="508"/>
      <c r="K45" s="508"/>
    </row>
    <row r="46" spans="1:11" ht="12" customHeight="1">
      <c r="A46" s="474"/>
      <c r="B46" s="520" t="s">
        <v>441</v>
      </c>
      <c r="C46" s="416">
        <f>IF(C4=0,(C36+C43+C50)*C13,0)</f>
        <v>0</v>
      </c>
      <c r="D46" s="422"/>
      <c r="E46" s="413">
        <f t="shared" si="2"/>
        <v>0</v>
      </c>
      <c r="F46" s="508"/>
      <c r="G46" s="508"/>
      <c r="H46" s="508"/>
      <c r="I46" s="508"/>
      <c r="J46" s="508"/>
      <c r="K46" s="508"/>
    </row>
    <row r="47" spans="1:11" ht="12" customHeight="1">
      <c r="A47" s="474"/>
      <c r="B47" s="518" t="s">
        <v>481</v>
      </c>
      <c r="C47" s="416">
        <f>C2*C13*2</f>
        <v>0</v>
      </c>
      <c r="D47" s="422"/>
      <c r="E47" s="413">
        <f t="shared" si="2"/>
        <v>0</v>
      </c>
      <c r="F47" s="508"/>
      <c r="G47" s="508"/>
      <c r="H47" s="508"/>
      <c r="I47" s="508"/>
      <c r="J47" s="508"/>
      <c r="K47" s="508"/>
    </row>
    <row r="48" spans="1:11" ht="12" customHeight="1">
      <c r="A48" s="474"/>
      <c r="B48" s="518" t="s">
        <v>468</v>
      </c>
      <c r="C48" s="423">
        <f>IF(AND(C4&gt;0,C5=0),C2*C13,0)</f>
        <v>0</v>
      </c>
      <c r="D48" s="422"/>
      <c r="E48" s="413">
        <f t="shared" si="2"/>
        <v>0</v>
      </c>
      <c r="F48" s="508"/>
      <c r="G48" s="508"/>
      <c r="H48" s="508"/>
      <c r="I48" s="508"/>
      <c r="J48" s="508"/>
      <c r="K48" s="508"/>
    </row>
    <row r="49" spans="1:11" ht="12" customHeight="1">
      <c r="A49" s="474"/>
      <c r="B49" s="518" t="s">
        <v>469</v>
      </c>
      <c r="C49" s="423">
        <f>IF(AND(C5&gt;0,C4=0),C2*C13,0)</f>
        <v>0</v>
      </c>
      <c r="D49" s="422"/>
      <c r="E49" s="413">
        <f t="shared" si="2"/>
        <v>0</v>
      </c>
      <c r="F49" s="508"/>
      <c r="G49" s="508"/>
      <c r="H49" s="508"/>
      <c r="I49" s="508"/>
      <c r="J49" s="508"/>
      <c r="K49" s="508"/>
    </row>
    <row r="50" spans="1:11" ht="12" customHeight="1">
      <c r="A50" s="474"/>
      <c r="B50" s="520" t="s">
        <v>430</v>
      </c>
      <c r="C50" s="423">
        <f>C13</f>
        <v>0</v>
      </c>
      <c r="D50" s="422"/>
      <c r="E50" s="413">
        <f t="shared" si="2"/>
        <v>0</v>
      </c>
      <c r="F50" s="508"/>
      <c r="G50" s="508"/>
      <c r="H50" s="508"/>
      <c r="I50" s="508"/>
      <c r="J50" s="508"/>
      <c r="K50" s="508"/>
    </row>
    <row r="51" spans="1:11" ht="12" customHeight="1">
      <c r="A51" s="474"/>
      <c r="B51" s="521" t="s">
        <v>385</v>
      </c>
      <c r="C51" s="423">
        <f>C6*C13</f>
        <v>0</v>
      </c>
      <c r="D51" s="422"/>
      <c r="E51" s="413">
        <f t="shared" si="2"/>
        <v>0</v>
      </c>
      <c r="F51" s="508"/>
      <c r="G51" s="508"/>
      <c r="H51" s="508"/>
      <c r="I51" s="508"/>
      <c r="J51" s="508"/>
      <c r="K51" s="508"/>
    </row>
    <row r="52" spans="1:11" ht="12" customHeight="1">
      <c r="A52" s="474"/>
      <c r="B52" s="521" t="s">
        <v>605</v>
      </c>
      <c r="C52" s="423">
        <f>C8*C13</f>
        <v>0</v>
      </c>
      <c r="D52" s="422"/>
      <c r="E52" s="413">
        <f t="shared" si="2"/>
        <v>0</v>
      </c>
      <c r="F52" s="508"/>
      <c r="G52" s="508"/>
      <c r="H52" s="508"/>
      <c r="I52" s="508"/>
      <c r="J52" s="508"/>
      <c r="K52" s="508"/>
    </row>
    <row r="53" spans="1:11" ht="12" customHeight="1">
      <c r="A53" s="474"/>
      <c r="B53" s="521" t="s">
        <v>443</v>
      </c>
      <c r="C53" s="423">
        <f>C7*C13</f>
        <v>0</v>
      </c>
      <c r="D53" s="422"/>
      <c r="E53" s="413">
        <f t="shared" si="2"/>
        <v>0</v>
      </c>
      <c r="F53" s="508"/>
      <c r="G53" s="508"/>
      <c r="H53" s="508"/>
      <c r="I53" s="508"/>
      <c r="J53" s="508"/>
      <c r="K53" s="508"/>
    </row>
    <row r="54" spans="1:11" ht="12" customHeight="1">
      <c r="A54" s="474"/>
      <c r="B54" s="594" t="s">
        <v>145</v>
      </c>
      <c r="C54" s="575">
        <f>C18</f>
        <v>0</v>
      </c>
      <c r="D54" s="591"/>
      <c r="E54" s="469">
        <f t="shared" si="2"/>
        <v>0</v>
      </c>
      <c r="F54" s="508"/>
      <c r="G54" s="508"/>
      <c r="H54" s="508"/>
      <c r="I54" s="508"/>
      <c r="J54" s="508"/>
      <c r="K54" s="508"/>
    </row>
    <row r="55" spans="1:11" ht="12" customHeight="1">
      <c r="A55" s="474"/>
      <c r="B55" s="594" t="s">
        <v>148</v>
      </c>
      <c r="C55" s="575">
        <f>C17</f>
        <v>0</v>
      </c>
      <c r="D55" s="591"/>
      <c r="E55" s="469">
        <f t="shared" si="2"/>
        <v>0</v>
      </c>
      <c r="F55" s="508"/>
      <c r="G55" s="508"/>
      <c r="H55" s="508"/>
      <c r="I55" s="508"/>
      <c r="J55" s="508"/>
      <c r="K55" s="508"/>
    </row>
    <row r="56" spans="1:11" ht="12" customHeight="1" thickBot="1">
      <c r="A56" s="474"/>
      <c r="B56" s="523" t="s">
        <v>606</v>
      </c>
      <c r="C56" s="471">
        <f>C9*C13</f>
        <v>0</v>
      </c>
      <c r="D56" s="542"/>
      <c r="E56" s="473">
        <f t="shared" si="2"/>
        <v>0</v>
      </c>
      <c r="F56" s="508"/>
      <c r="G56" s="508"/>
      <c r="H56" s="508"/>
      <c r="I56" s="508"/>
      <c r="J56" s="508"/>
      <c r="K56" s="508"/>
    </row>
    <row r="57" spans="1:11" ht="12" customHeight="1" thickBot="1">
      <c r="A57" s="474"/>
      <c r="B57" s="508"/>
      <c r="C57" s="508"/>
      <c r="D57" s="524" t="s">
        <v>9</v>
      </c>
      <c r="E57" s="596">
        <f>SUMIF(E21:E56,"&gt;0",E21:E56)</f>
        <v>0</v>
      </c>
      <c r="F57" s="508"/>
      <c r="G57" s="508"/>
      <c r="H57" s="508"/>
      <c r="I57" s="508"/>
      <c r="J57" s="508"/>
      <c r="K57" s="508"/>
    </row>
    <row r="58" spans="1:11">
      <c r="A58" s="474"/>
      <c r="B58" s="508"/>
      <c r="C58" s="508"/>
      <c r="D58" s="508"/>
      <c r="E58" s="508"/>
      <c r="F58" s="508"/>
      <c r="G58" s="508"/>
      <c r="H58" s="508"/>
      <c r="I58" s="508"/>
      <c r="J58" s="508"/>
      <c r="K58" s="508"/>
    </row>
    <row r="59" spans="1:11">
      <c r="A59" s="474"/>
      <c r="B59" s="474"/>
      <c r="C59" s="474"/>
      <c r="D59" s="474"/>
      <c r="E59" s="474"/>
      <c r="F59" s="474"/>
      <c r="G59" s="474"/>
      <c r="H59" s="474"/>
      <c r="I59" s="474"/>
      <c r="J59" s="474"/>
      <c r="K59" s="474"/>
    </row>
    <row r="60" spans="1:11" ht="11.25" customHeight="1">
      <c r="A60" s="474"/>
      <c r="B60" s="474"/>
      <c r="C60" s="474"/>
      <c r="D60" s="474"/>
      <c r="E60" s="474"/>
      <c r="F60" s="474"/>
      <c r="G60" s="474"/>
      <c r="H60" s="474"/>
      <c r="I60" s="474"/>
      <c r="J60" s="474"/>
      <c r="K60" s="474"/>
    </row>
    <row r="61" spans="1:11">
      <c r="A61" s="474"/>
      <c r="B61" s="474"/>
      <c r="C61" s="474"/>
      <c r="D61" s="474"/>
      <c r="E61" s="474"/>
      <c r="F61" s="474"/>
      <c r="G61" s="474"/>
      <c r="H61" s="474"/>
      <c r="I61" s="474"/>
      <c r="J61" s="474"/>
      <c r="K61" s="474"/>
    </row>
    <row r="62" spans="1:11">
      <c r="A62" s="474"/>
      <c r="B62" s="474"/>
      <c r="C62" s="474"/>
      <c r="D62" s="474"/>
      <c r="E62" s="474"/>
      <c r="F62" s="474"/>
      <c r="G62" s="474"/>
      <c r="H62" s="474"/>
      <c r="I62" s="474"/>
      <c r="J62" s="474"/>
      <c r="K62" s="474"/>
    </row>
    <row r="63" spans="1:11">
      <c r="A63" s="474"/>
      <c r="B63" s="474"/>
      <c r="C63" s="474"/>
      <c r="D63" s="474"/>
      <c r="E63" s="474"/>
      <c r="F63" s="474"/>
      <c r="G63" s="474"/>
      <c r="H63" s="474"/>
      <c r="I63" s="474"/>
      <c r="J63" s="474"/>
      <c r="K63" s="474"/>
    </row>
    <row r="65" ht="11.25" customHeight="1"/>
  </sheetData>
  <sheetProtection algorithmName="SHA-512" hashValue="kAx80zEZOlB4pJm9Jcrs1uRHTp1nmLox40xrU3V+FETPf4bOD7gSX3NENIYl2fE03eu6Zkeg/UpZLT8frwg5GA==" saltValue="6t/vbwbyluFU9JN6LpcZTA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156" priority="43" operator="greaterThan">
      <formula>0</formula>
    </cfRule>
  </conditionalFormatting>
  <conditionalFormatting sqref="C2:C3">
    <cfRule type="cellIs" dxfId="155" priority="45" operator="greaterThan">
      <formula>0</formula>
    </cfRule>
  </conditionalFormatting>
  <conditionalFormatting sqref="C2:C3">
    <cfRule type="cellIs" dxfId="154" priority="44" operator="greaterThan">
      <formula>0</formula>
    </cfRule>
  </conditionalFormatting>
  <conditionalFormatting sqref="C10">
    <cfRule type="cellIs" dxfId="153" priority="42" operator="greaterThan">
      <formula>0</formula>
    </cfRule>
  </conditionalFormatting>
  <conditionalFormatting sqref="C10">
    <cfRule type="cellIs" dxfId="152" priority="41" operator="greaterThan">
      <formula>0</formula>
    </cfRule>
  </conditionalFormatting>
  <conditionalFormatting sqref="C10">
    <cfRule type="cellIs" dxfId="151" priority="40" operator="greaterThan">
      <formula>0</formula>
    </cfRule>
  </conditionalFormatting>
  <conditionalFormatting sqref="C10">
    <cfRule type="cellIs" dxfId="150" priority="39" operator="greaterThan">
      <formula>0</formula>
    </cfRule>
  </conditionalFormatting>
  <conditionalFormatting sqref="J3:J15">
    <cfRule type="cellIs" dxfId="149" priority="16" operator="greaterThan">
      <formula>0</formula>
    </cfRule>
    <cfRule type="cellIs" dxfId="148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147" priority="33" operator="equal">
      <formula>"ДА"</formula>
    </cfRule>
    <cfRule type="cellIs" dxfId="146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45" priority="30" operator="equal">
      <formula>"ДА"</formula>
    </cfRule>
    <cfRule type="cellIs" dxfId="144" priority="31" operator="equal">
      <formula>"НЕТ"</formula>
    </cfRule>
  </conditionalFormatting>
  <conditionalFormatting sqref="I5">
    <cfRule type="cellIs" dxfId="143" priority="27" operator="equal">
      <formula>"ДА"</formula>
    </cfRule>
    <cfRule type="cellIs" dxfId="142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141" priority="23" operator="equal">
      <formula>"ДА"</formula>
    </cfRule>
    <cfRule type="cellIs" dxfId="140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139" priority="19" operator="equal">
      <formula>"ДА"</formula>
    </cfRule>
    <cfRule type="cellIs" dxfId="138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137" priority="18" operator="greaterThan">
      <formula>0</formula>
    </cfRule>
  </conditionalFormatting>
  <conditionalFormatting sqref="C2:C16">
    <cfRule type="cellIs" dxfId="136" priority="15" operator="greaterThan">
      <formula>0</formula>
    </cfRule>
  </conditionalFormatting>
  <conditionalFormatting sqref="C38:E38 C41:E53 C56:E56">
    <cfRule type="cellIs" dxfId="135" priority="14" operator="greaterThan">
      <formula>0</formula>
    </cfRule>
  </conditionalFormatting>
  <conditionalFormatting sqref="E57">
    <cfRule type="cellIs" dxfId="134" priority="13" operator="greaterThan">
      <formula>0</formula>
    </cfRule>
  </conditionalFormatting>
  <conditionalFormatting sqref="J3:K15">
    <cfRule type="cellIs" dxfId="133" priority="12" operator="greaterThan">
      <formula>0</formula>
    </cfRule>
  </conditionalFormatting>
  <conditionalFormatting sqref="C21:C36">
    <cfRule type="cellIs" dxfId="132" priority="11" operator="greaterThan">
      <formula>4</formula>
    </cfRule>
  </conditionalFormatting>
  <conditionalFormatting sqref="C41:C53 C38 C56">
    <cfRule type="cellIs" dxfId="131" priority="10" operator="greaterThan">
      <formula>0</formula>
    </cfRule>
  </conditionalFormatting>
  <conditionalFormatting sqref="C39">
    <cfRule type="cellIs" dxfId="130" priority="8" operator="greaterThan">
      <formula>0</formula>
    </cfRule>
  </conditionalFormatting>
  <conditionalFormatting sqref="C40">
    <cfRule type="cellIs" dxfId="129" priority="6" operator="greaterThan">
      <formula>0</formula>
    </cfRule>
  </conditionalFormatting>
  <conditionalFormatting sqref="C39:E39">
    <cfRule type="cellIs" dxfId="128" priority="9" operator="greaterThan">
      <formula>0</formula>
    </cfRule>
  </conditionalFormatting>
  <conditionalFormatting sqref="C37">
    <cfRule type="cellIs" dxfId="127" priority="3" operator="greaterThan">
      <formula>0</formula>
    </cfRule>
  </conditionalFormatting>
  <conditionalFormatting sqref="C40:E40">
    <cfRule type="cellIs" dxfId="126" priority="7" operator="greaterThan">
      <formula>0</formula>
    </cfRule>
  </conditionalFormatting>
  <conditionalFormatting sqref="D37:E37">
    <cfRule type="cellIs" dxfId="125" priority="5" operator="greaterThan">
      <formula>0</formula>
    </cfRule>
  </conditionalFormatting>
  <conditionalFormatting sqref="C37">
    <cfRule type="cellIs" dxfId="124" priority="4" operator="greaterThan">
      <formula>0</formula>
    </cfRule>
  </conditionalFormatting>
  <conditionalFormatting sqref="C17:C18">
    <cfRule type="cellIs" dxfId="123" priority="2" operator="greaterThan">
      <formula>0</formula>
    </cfRule>
  </conditionalFormatting>
  <conditionalFormatting sqref="C54:E55">
    <cfRule type="cellIs" dxfId="12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51" sqref="H51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74"/>
      <c r="B1" s="1194"/>
      <c r="C1" s="1194"/>
      <c r="D1" s="1194"/>
      <c r="E1" s="1194"/>
      <c r="F1" s="474"/>
      <c r="G1" s="474"/>
      <c r="H1" s="474"/>
      <c r="I1" s="474"/>
      <c r="J1" s="474"/>
      <c r="K1" s="474"/>
      <c r="L1" s="474"/>
    </row>
    <row r="2" spans="1:12" ht="12" customHeight="1" thickBot="1">
      <c r="A2" s="474"/>
      <c r="B2" s="476" t="s">
        <v>558</v>
      </c>
      <c r="C2" s="527">
        <v>0</v>
      </c>
      <c r="D2" s="1116" t="s">
        <v>602</v>
      </c>
      <c r="E2" s="1117"/>
      <c r="F2" s="1118"/>
      <c r="G2" s="508"/>
      <c r="H2" s="478" t="s">
        <v>492</v>
      </c>
      <c r="I2" s="757" t="s">
        <v>611</v>
      </c>
      <c r="J2" s="479" t="s">
        <v>4</v>
      </c>
      <c r="K2" s="480" t="s">
        <v>8</v>
      </c>
      <c r="L2" s="474"/>
    </row>
    <row r="3" spans="1:12" ht="12" customHeight="1">
      <c r="A3" s="474"/>
      <c r="B3" s="486" t="s">
        <v>559</v>
      </c>
      <c r="C3" s="620">
        <v>0</v>
      </c>
      <c r="D3" s="1136"/>
      <c r="E3" s="1122"/>
      <c r="F3" s="1123"/>
      <c r="G3" s="766"/>
      <c r="H3" s="482" t="s">
        <v>496</v>
      </c>
      <c r="I3" s="692" t="str">
        <f>IF(AND($C$12+$C$13+$C$14=1,$C$15+$C$16+$C$17=0,C18=1),"ДА","НЕТ")</f>
        <v>НЕТ</v>
      </c>
      <c r="J3" s="679"/>
      <c r="K3" s="388">
        <f>IF(I3="ДА",$C$18*J3,0)</f>
        <v>0</v>
      </c>
      <c r="L3" s="474"/>
    </row>
    <row r="4" spans="1:12" ht="12" customHeight="1">
      <c r="A4" s="474"/>
      <c r="B4" s="488" t="s">
        <v>560</v>
      </c>
      <c r="C4" s="685">
        <v>0</v>
      </c>
      <c r="D4" s="1136"/>
      <c r="E4" s="1122"/>
      <c r="F4" s="1123"/>
      <c r="G4" s="508"/>
      <c r="H4" s="487" t="s">
        <v>493</v>
      </c>
      <c r="I4" s="693" t="str">
        <f>IF(AND($C$12+$C$13+$C$14=1,$C$15+$C$16+$C$17=0,C18=3),"ДА","НЕТ")</f>
        <v>НЕТ</v>
      </c>
      <c r="J4" s="680"/>
      <c r="K4" s="392">
        <f t="shared" ref="K4:K19" si="0">IF(I4="ДА",$C$18*J4,0)</f>
        <v>0</v>
      </c>
      <c r="L4" s="474"/>
    </row>
    <row r="5" spans="1:12" ht="12" customHeight="1" thickBot="1">
      <c r="A5" s="474"/>
      <c r="B5" s="481" t="s">
        <v>561</v>
      </c>
      <c r="C5" s="528">
        <v>0</v>
      </c>
      <c r="D5" s="1119"/>
      <c r="E5" s="1120"/>
      <c r="F5" s="1121"/>
      <c r="G5" s="766"/>
      <c r="H5" s="487" t="s">
        <v>598</v>
      </c>
      <c r="I5" s="693" t="str">
        <f>IF(AND($C$12+$C$13+$C$14=1,$C$15+$C$16+$C$17=0,C18=3),"ДА","НЕТ")</f>
        <v>НЕТ</v>
      </c>
      <c r="J5" s="680"/>
      <c r="K5" s="392">
        <f t="shared" si="0"/>
        <v>0</v>
      </c>
      <c r="L5" s="474"/>
    </row>
    <row r="6" spans="1:12" ht="12" customHeight="1">
      <c r="A6" s="474"/>
      <c r="B6" s="476" t="s">
        <v>420</v>
      </c>
      <c r="C6" s="676">
        <v>0</v>
      </c>
      <c r="D6" s="1116" t="s">
        <v>604</v>
      </c>
      <c r="E6" s="1117"/>
      <c r="F6" s="1118"/>
      <c r="G6" s="508"/>
      <c r="H6" s="487" t="s">
        <v>494</v>
      </c>
      <c r="I6" s="693" t="str">
        <f>IF(AND($C$12+$C$13+$C$14=1,$C$15+$C$16+$C$17=0,C18=2),"ДА","НЕТ")</f>
        <v>НЕТ</v>
      </c>
      <c r="J6" s="680"/>
      <c r="K6" s="392">
        <f t="shared" si="0"/>
        <v>0</v>
      </c>
      <c r="L6" s="474"/>
    </row>
    <row r="7" spans="1:12" ht="12" customHeight="1">
      <c r="A7" s="474"/>
      <c r="B7" s="486" t="s">
        <v>421</v>
      </c>
      <c r="C7" s="686">
        <v>0</v>
      </c>
      <c r="D7" s="1136"/>
      <c r="E7" s="1122"/>
      <c r="F7" s="1123"/>
      <c r="G7" s="508"/>
      <c r="H7" s="487" t="s">
        <v>495</v>
      </c>
      <c r="I7" s="693" t="str">
        <f>IF(AND($C$12+$C$13+$C$14=1,$C$15+$C$16+$C$17=0,C18=2),"ДА","НЕТ")</f>
        <v>НЕТ</v>
      </c>
      <c r="J7" s="680"/>
      <c r="K7" s="392">
        <f t="shared" si="0"/>
        <v>0</v>
      </c>
      <c r="L7" s="474"/>
    </row>
    <row r="8" spans="1:12" ht="12" customHeight="1">
      <c r="A8" s="474"/>
      <c r="B8" s="486" t="s">
        <v>593</v>
      </c>
      <c r="C8" s="686">
        <v>0</v>
      </c>
      <c r="D8" s="1136"/>
      <c r="E8" s="1122"/>
      <c r="F8" s="1123"/>
      <c r="G8" s="508"/>
      <c r="H8" s="487" t="s">
        <v>501</v>
      </c>
      <c r="I8" s="693" t="str">
        <f>IF(AND($C$12+$C$13+$C$14=1,$C$15+$C$16+$C$17=0,C18=2),"ДА","НЕТ")</f>
        <v>НЕТ</v>
      </c>
      <c r="J8" s="680"/>
      <c r="K8" s="392">
        <f t="shared" si="0"/>
        <v>0</v>
      </c>
      <c r="L8" s="474"/>
    </row>
    <row r="9" spans="1:12" ht="12" customHeight="1">
      <c r="A9" s="474"/>
      <c r="B9" s="488" t="s">
        <v>422</v>
      </c>
      <c r="C9" s="618">
        <v>0</v>
      </c>
      <c r="D9" s="1136"/>
      <c r="E9" s="1122"/>
      <c r="F9" s="1123"/>
      <c r="G9" s="508"/>
      <c r="H9" s="482" t="s">
        <v>597</v>
      </c>
      <c r="I9" s="693" t="str">
        <f>IF(AND($C$12+$C$13+$C$14=1,$C$15+$C$16+$C$17=0,C18=1),"ДА","НЕТ")</f>
        <v>НЕТ</v>
      </c>
      <c r="J9" s="679"/>
      <c r="K9" s="388">
        <f t="shared" si="0"/>
        <v>0</v>
      </c>
      <c r="L9" s="474"/>
    </row>
    <row r="10" spans="1:12" ht="12" customHeight="1">
      <c r="A10" s="474"/>
      <c r="B10" s="486" t="s">
        <v>423</v>
      </c>
      <c r="C10" s="686">
        <v>0</v>
      </c>
      <c r="D10" s="1136"/>
      <c r="E10" s="1122"/>
      <c r="F10" s="1123"/>
      <c r="G10" s="508"/>
      <c r="H10" s="482" t="s">
        <v>390</v>
      </c>
      <c r="I10" s="693" t="str">
        <f>IF(AND($C$12+$C$13+$C$14+$C$17=0,$C$15+$C$16=1,$C$18=1),"ДА","НЕТ")</f>
        <v>НЕТ</v>
      </c>
      <c r="J10" s="681"/>
      <c r="K10" s="395">
        <f t="shared" si="0"/>
        <v>0</v>
      </c>
      <c r="L10" s="474"/>
    </row>
    <row r="11" spans="1:12" ht="12" customHeight="1" thickBot="1">
      <c r="A11" s="474"/>
      <c r="B11" s="509" t="s">
        <v>592</v>
      </c>
      <c r="C11" s="619">
        <v>0</v>
      </c>
      <c r="D11" s="1119"/>
      <c r="E11" s="1120"/>
      <c r="F11" s="1121"/>
      <c r="G11" s="508"/>
      <c r="H11" s="485" t="s">
        <v>391</v>
      </c>
      <c r="I11" s="693" t="str">
        <f>IF(AND($C$12+$C$13+$C$14+$C$17=0,$C$15+$C$16=1,$C$18=1),"ДА","НЕТ")</f>
        <v>НЕТ</v>
      </c>
      <c r="J11" s="681"/>
      <c r="K11" s="395">
        <f t="shared" si="0"/>
        <v>0</v>
      </c>
      <c r="L11" s="474"/>
    </row>
    <row r="12" spans="1:12" ht="12" customHeight="1">
      <c r="A12" s="474"/>
      <c r="B12" s="488" t="s">
        <v>505</v>
      </c>
      <c r="C12" s="531">
        <v>0</v>
      </c>
      <c r="D12" s="491" t="s">
        <v>294</v>
      </c>
      <c r="E12" s="492" t="s">
        <v>256</v>
      </c>
      <c r="F12" s="1125" t="s">
        <v>604</v>
      </c>
      <c r="G12" s="508"/>
      <c r="H12" s="485" t="s">
        <v>392</v>
      </c>
      <c r="I12" s="693" t="str">
        <f>IF(AND($C$12+$C$13+$C$14+$C$17=0,$C$15+$C$16=1,$C$18=1),"ДА","НЕТ")</f>
        <v>НЕТ</v>
      </c>
      <c r="J12" s="682"/>
      <c r="K12" s="395">
        <f t="shared" si="0"/>
        <v>0</v>
      </c>
      <c r="L12" s="474"/>
    </row>
    <row r="13" spans="1:12" ht="12" customHeight="1">
      <c r="A13" s="474"/>
      <c r="B13" s="486" t="s">
        <v>506</v>
      </c>
      <c r="C13" s="530">
        <v>0</v>
      </c>
      <c r="D13" s="493" t="s">
        <v>294</v>
      </c>
      <c r="E13" s="494" t="s">
        <v>256</v>
      </c>
      <c r="F13" s="1125"/>
      <c r="G13" s="508"/>
      <c r="H13" s="485" t="s">
        <v>599</v>
      </c>
      <c r="I13" s="693" t="str">
        <f>IF(AND($C$12+$C$13+C14+$C$15+$C$16=0,$C$17=1,$C$18=1),"ДА","НЕТ")</f>
        <v>НЕТ</v>
      </c>
      <c r="J13" s="682"/>
      <c r="K13" s="395">
        <f t="shared" si="0"/>
        <v>0</v>
      </c>
      <c r="L13" s="474"/>
    </row>
    <row r="14" spans="1:12" ht="12" customHeight="1">
      <c r="A14" s="474"/>
      <c r="B14" s="486" t="s">
        <v>594</v>
      </c>
      <c r="C14" s="530">
        <v>0</v>
      </c>
      <c r="D14" s="493" t="s">
        <v>294</v>
      </c>
      <c r="E14" s="493" t="s">
        <v>256</v>
      </c>
      <c r="F14" s="1125"/>
      <c r="G14" s="508"/>
      <c r="H14" s="485" t="s">
        <v>599</v>
      </c>
      <c r="I14" s="693" t="str">
        <f>IF(AND($C$12+$C$13+C14+$C$15+$C$16=0,$C$17=1,$C$18=1),"ДА","НЕТ")</f>
        <v>НЕТ</v>
      </c>
      <c r="J14" s="682"/>
      <c r="K14" s="395">
        <f t="shared" si="0"/>
        <v>0</v>
      </c>
      <c r="L14" s="474"/>
    </row>
    <row r="15" spans="1:12" ht="12" customHeight="1">
      <c r="A15" s="474"/>
      <c r="B15" s="488" t="s">
        <v>507</v>
      </c>
      <c r="C15" s="531">
        <v>0</v>
      </c>
      <c r="D15" s="491" t="s">
        <v>294</v>
      </c>
      <c r="E15" s="492" t="s">
        <v>256</v>
      </c>
      <c r="F15" s="1125"/>
      <c r="G15" s="508"/>
      <c r="H15" s="482" t="s">
        <v>395</v>
      </c>
      <c r="I15" s="693" t="str">
        <f>IF(AND($C$12+$C$13+$C$14+$C$17=0,$C$15+$C$16=1,$C$18=2),"ДА","НЕТ")</f>
        <v>НЕТ</v>
      </c>
      <c r="J15" s="681"/>
      <c r="K15" s="395">
        <f t="shared" si="0"/>
        <v>0</v>
      </c>
      <c r="L15" s="474"/>
    </row>
    <row r="16" spans="1:12" ht="12" customHeight="1">
      <c r="A16" s="474"/>
      <c r="B16" s="486" t="s">
        <v>508</v>
      </c>
      <c r="C16" s="530">
        <v>0</v>
      </c>
      <c r="D16" s="493" t="s">
        <v>294</v>
      </c>
      <c r="E16" s="494" t="s">
        <v>256</v>
      </c>
      <c r="F16" s="1125"/>
      <c r="G16" s="508"/>
      <c r="H16" s="485" t="s">
        <v>396</v>
      </c>
      <c r="I16" s="693" t="str">
        <f>IF(AND($C$12+$C$13+$C$14+$C$17=0,$C$15+$C$16=1,$C$18=2),"ДА","НЕТ")</f>
        <v>НЕТ</v>
      </c>
      <c r="J16" s="681"/>
      <c r="K16" s="395">
        <f t="shared" si="0"/>
        <v>0</v>
      </c>
      <c r="L16" s="474"/>
    </row>
    <row r="17" spans="1:12" ht="12" customHeight="1" thickBot="1">
      <c r="A17" s="474"/>
      <c r="B17" s="583" t="s">
        <v>595</v>
      </c>
      <c r="C17" s="582">
        <v>0</v>
      </c>
      <c r="D17" s="695" t="s">
        <v>294</v>
      </c>
      <c r="E17" s="585" t="s">
        <v>256</v>
      </c>
      <c r="F17" s="1125"/>
      <c r="G17" s="508"/>
      <c r="H17" s="485" t="s">
        <v>397</v>
      </c>
      <c r="I17" s="693" t="str">
        <f>IF(AND($C$12+$C$13+$C$14+$C$17=0,$C$15+$C$16=1,$C$18=2),"ДА","НЕТ")</f>
        <v>НЕТ</v>
      </c>
      <c r="J17" s="681"/>
      <c r="K17" s="392">
        <f t="shared" si="0"/>
        <v>0</v>
      </c>
      <c r="L17" s="474"/>
    </row>
    <row r="18" spans="1:12" ht="12" customHeight="1" thickBot="1">
      <c r="A18" s="474"/>
      <c r="B18" s="498" t="s">
        <v>596</v>
      </c>
      <c r="C18" s="617">
        <v>0</v>
      </c>
      <c r="D18" s="502" t="s">
        <v>626</v>
      </c>
      <c r="E18" s="503" t="s">
        <v>627</v>
      </c>
      <c r="F18" s="505" t="s">
        <v>628</v>
      </c>
      <c r="G18" s="508"/>
      <c r="H18" s="482" t="s">
        <v>600</v>
      </c>
      <c r="I18" s="692" t="str">
        <f>IF(AND($C$12+$C$13+C14+$C$15+$C$16=0,$C$17=1,$C$18=2),"ДА","НЕТ")</f>
        <v>НЕТ</v>
      </c>
      <c r="J18" s="683"/>
      <c r="K18" s="399">
        <f t="shared" si="0"/>
        <v>0</v>
      </c>
      <c r="L18" s="474"/>
    </row>
    <row r="19" spans="1:12" ht="12" customHeight="1" thickBot="1">
      <c r="A19" s="474"/>
      <c r="B19" s="488" t="s">
        <v>368</v>
      </c>
      <c r="C19" s="531">
        <v>0</v>
      </c>
      <c r="D19" s="491" t="s">
        <v>294</v>
      </c>
      <c r="E19" s="492" t="s">
        <v>256</v>
      </c>
      <c r="F19" s="1125" t="s">
        <v>604</v>
      </c>
      <c r="G19" s="508"/>
      <c r="H19" s="506" t="s">
        <v>601</v>
      </c>
      <c r="I19" s="703" t="str">
        <f>IF(AND($C$12+$C$13+C14+$C$15+$C$16=0,$C$17=1,$C$18=2),"ДА","НЕТ")</f>
        <v>НЕТ</v>
      </c>
      <c r="J19" s="684"/>
      <c r="K19" s="402">
        <f t="shared" si="0"/>
        <v>0</v>
      </c>
      <c r="L19" s="474"/>
    </row>
    <row r="20" spans="1:12" ht="12" customHeight="1">
      <c r="A20" s="474"/>
      <c r="B20" s="488" t="s">
        <v>473</v>
      </c>
      <c r="C20" s="531">
        <v>0</v>
      </c>
      <c r="D20" s="491" t="s">
        <v>294</v>
      </c>
      <c r="E20" s="492" t="s">
        <v>256</v>
      </c>
      <c r="F20" s="1125"/>
      <c r="G20" s="508"/>
      <c r="H20" s="508"/>
      <c r="I20" s="508"/>
      <c r="J20" s="508"/>
      <c r="K20" s="508"/>
      <c r="L20" s="474"/>
    </row>
    <row r="21" spans="1:12" ht="12" customHeight="1">
      <c r="A21" s="474"/>
      <c r="B21" s="486" t="s">
        <v>369</v>
      </c>
      <c r="C21" s="530">
        <v>0</v>
      </c>
      <c r="D21" s="493" t="s">
        <v>294</v>
      </c>
      <c r="E21" s="494" t="s">
        <v>256</v>
      </c>
      <c r="F21" s="1125"/>
      <c r="G21" s="508"/>
      <c r="H21" s="508"/>
      <c r="I21" s="508"/>
      <c r="J21" s="508"/>
      <c r="K21" s="508"/>
      <c r="L21" s="474"/>
    </row>
    <row r="22" spans="1:12" ht="12" customHeight="1" thickBot="1">
      <c r="A22" s="474"/>
      <c r="B22" s="481" t="s">
        <v>474</v>
      </c>
      <c r="C22" s="532">
        <v>0</v>
      </c>
      <c r="D22" s="496" t="s">
        <v>294</v>
      </c>
      <c r="E22" s="497" t="s">
        <v>256</v>
      </c>
      <c r="F22" s="1126"/>
      <c r="G22" s="508"/>
      <c r="H22" s="508"/>
      <c r="I22" s="508"/>
      <c r="J22" s="508"/>
      <c r="K22" s="508"/>
      <c r="L22" s="474"/>
    </row>
    <row r="23" spans="1:12" ht="12" customHeight="1">
      <c r="A23" s="474"/>
      <c r="B23" s="476" t="s">
        <v>147</v>
      </c>
      <c r="C23" s="533">
        <v>0</v>
      </c>
      <c r="D23" s="1127" t="s">
        <v>693</v>
      </c>
      <c r="E23" s="1128"/>
      <c r="F23" s="1129"/>
      <c r="G23" s="508"/>
      <c r="H23" s="508"/>
      <c r="I23" s="508"/>
      <c r="J23" s="508"/>
      <c r="K23" s="508"/>
      <c r="L23" s="474"/>
    </row>
    <row r="24" spans="1:12" ht="12" customHeight="1" thickBot="1">
      <c r="A24" s="474"/>
      <c r="B24" s="481" t="s">
        <v>146</v>
      </c>
      <c r="C24" s="532">
        <v>0</v>
      </c>
      <c r="D24" s="1133" t="s">
        <v>694</v>
      </c>
      <c r="E24" s="1134"/>
      <c r="F24" s="1135"/>
      <c r="G24" s="508"/>
      <c r="H24" s="508"/>
      <c r="I24" s="508"/>
      <c r="J24" s="508"/>
      <c r="K24" s="508"/>
      <c r="L24" s="474"/>
    </row>
    <row r="25" spans="1:12" ht="12" customHeight="1" thickBot="1">
      <c r="A25" s="474"/>
      <c r="B25" s="1113"/>
      <c r="C25" s="1113"/>
      <c r="D25" s="1113"/>
      <c r="E25" s="1113"/>
      <c r="F25" s="508"/>
      <c r="G25" s="508"/>
      <c r="H25" s="508"/>
      <c r="I25" s="508"/>
      <c r="J25" s="508"/>
      <c r="K25" s="508"/>
      <c r="L25" s="474"/>
    </row>
    <row r="26" spans="1:12" ht="12" customHeight="1">
      <c r="A26" s="474"/>
      <c r="B26" s="513" t="s">
        <v>5</v>
      </c>
      <c r="C26" s="514" t="s">
        <v>0</v>
      </c>
      <c r="D26" s="700" t="s">
        <v>4</v>
      </c>
      <c r="E26" s="516" t="s">
        <v>8</v>
      </c>
      <c r="F26" s="508"/>
      <c r="G26" s="508"/>
      <c r="H26" s="508"/>
      <c r="I26" s="508"/>
      <c r="J26" s="508"/>
      <c r="K26" s="508"/>
      <c r="L26" s="474"/>
    </row>
    <row r="27" spans="1:12" ht="12" customHeight="1">
      <c r="A27" s="474"/>
      <c r="B27" s="518" t="s">
        <v>570</v>
      </c>
      <c r="C27" s="411">
        <f>C22*(C6+C7+C8+C9+C10+C11)*2</f>
        <v>0</v>
      </c>
      <c r="D27" s="412"/>
      <c r="E27" s="413">
        <f t="shared" ref="E27:E61" si="1">C27*D27</f>
        <v>0</v>
      </c>
      <c r="F27" s="508"/>
      <c r="G27" s="508"/>
      <c r="H27" s="508"/>
      <c r="I27" s="508"/>
      <c r="J27" s="508"/>
      <c r="K27" s="508"/>
      <c r="L27" s="474"/>
    </row>
    <row r="28" spans="1:12" ht="12" customHeight="1">
      <c r="A28" s="474"/>
      <c r="B28" s="518" t="s">
        <v>571</v>
      </c>
      <c r="C28" s="411">
        <f>C20*(C6+C7+C8+C9+C10+C11)*2</f>
        <v>0</v>
      </c>
      <c r="D28" s="412"/>
      <c r="E28" s="413">
        <f t="shared" si="1"/>
        <v>0</v>
      </c>
      <c r="F28" s="508"/>
      <c r="G28" s="508"/>
      <c r="H28" s="508"/>
      <c r="I28" s="508"/>
      <c r="J28" s="508"/>
      <c r="K28" s="508"/>
      <c r="L28" s="474"/>
    </row>
    <row r="29" spans="1:12" ht="12" customHeight="1">
      <c r="A29" s="474"/>
      <c r="B29" s="518" t="s">
        <v>117</v>
      </c>
      <c r="C29" s="411">
        <f>(C19+C21)*4*(C6+C7+C8+C9+C10+C11)</f>
        <v>0</v>
      </c>
      <c r="D29" s="412"/>
      <c r="E29" s="413">
        <f t="shared" si="1"/>
        <v>0</v>
      </c>
      <c r="F29" s="508"/>
      <c r="G29" s="508"/>
      <c r="H29" s="508"/>
      <c r="I29" s="508"/>
      <c r="J29" s="508"/>
      <c r="K29" s="508"/>
      <c r="L29" s="474"/>
    </row>
    <row r="30" spans="1:12" ht="12" customHeight="1">
      <c r="A30" s="474"/>
      <c r="B30" s="520" t="s">
        <v>648</v>
      </c>
      <c r="C30" s="416">
        <f>EVEN(ROUNDDOWN(IF(AND(C9+C10+C11&gt;0.9,C6+C7+C8=0),(C9+C10+C11)*C2/0.5,0),0))</f>
        <v>0</v>
      </c>
      <c r="D30" s="417"/>
      <c r="E30" s="413">
        <f t="shared" si="1"/>
        <v>0</v>
      </c>
      <c r="F30" s="510"/>
      <c r="G30" s="508"/>
      <c r="H30" s="508"/>
      <c r="I30" s="508"/>
      <c r="J30" s="508"/>
      <c r="K30" s="508"/>
      <c r="L30" s="474"/>
    </row>
    <row r="31" spans="1:12" ht="12" customHeight="1">
      <c r="A31" s="474"/>
      <c r="B31" s="520" t="s">
        <v>562</v>
      </c>
      <c r="C31" s="416">
        <f>C6+C7+C8+C9+C10+C11</f>
        <v>0</v>
      </c>
      <c r="D31" s="417"/>
      <c r="E31" s="413">
        <f>C31*D31</f>
        <v>0</v>
      </c>
      <c r="F31" s="512"/>
      <c r="G31" s="508"/>
      <c r="H31" s="508"/>
      <c r="I31" s="508"/>
      <c r="J31" s="508"/>
      <c r="K31" s="508"/>
      <c r="L31" s="474"/>
    </row>
    <row r="32" spans="1:12" ht="12" customHeight="1">
      <c r="A32" s="474"/>
      <c r="B32" s="520" t="s">
        <v>427</v>
      </c>
      <c r="C32" s="416">
        <f>(C6+C7+C8+C9+C10+C11)*2</f>
        <v>0</v>
      </c>
      <c r="D32" s="417"/>
      <c r="E32" s="413">
        <f>C32*D32</f>
        <v>0</v>
      </c>
      <c r="F32" s="512"/>
      <c r="G32" s="508"/>
      <c r="H32" s="508"/>
      <c r="I32" s="508"/>
      <c r="J32" s="508"/>
      <c r="K32" s="508"/>
      <c r="L32" s="474"/>
    </row>
    <row r="33" spans="1:12" ht="12" customHeight="1">
      <c r="A33" s="474"/>
      <c r="B33" s="518" t="s">
        <v>649</v>
      </c>
      <c r="C33" s="419">
        <f>(C6+C7+C8)*2</f>
        <v>0</v>
      </c>
      <c r="D33" s="420"/>
      <c r="E33" s="413">
        <f t="shared" si="1"/>
        <v>0</v>
      </c>
      <c r="F33" s="508"/>
      <c r="G33" s="508"/>
      <c r="H33" s="508"/>
      <c r="I33" s="508"/>
      <c r="J33" s="508"/>
      <c r="K33" s="508"/>
      <c r="L33" s="474"/>
    </row>
    <row r="34" spans="1:12" ht="12" customHeight="1">
      <c r="A34" s="474"/>
      <c r="B34" s="520" t="s">
        <v>650</v>
      </c>
      <c r="C34" s="419">
        <f>IF(C6+C7+C8=0,(C9+C10+C11)*2,0)</f>
        <v>0</v>
      </c>
      <c r="D34" s="420"/>
      <c r="E34" s="413">
        <f t="shared" si="1"/>
        <v>0</v>
      </c>
      <c r="F34" s="508"/>
      <c r="G34" s="508"/>
      <c r="H34" s="508"/>
      <c r="I34" s="508"/>
      <c r="J34" s="508"/>
      <c r="K34" s="508"/>
      <c r="L34" s="474"/>
    </row>
    <row r="35" spans="1:12" ht="12" customHeight="1">
      <c r="A35" s="474"/>
      <c r="B35" s="520" t="s">
        <v>439</v>
      </c>
      <c r="C35" s="411">
        <f>(C6+C9)*2</f>
        <v>0</v>
      </c>
      <c r="D35" s="412"/>
      <c r="E35" s="413">
        <f t="shared" si="1"/>
        <v>0</v>
      </c>
      <c r="F35" s="508"/>
      <c r="G35" s="508"/>
      <c r="H35" s="508"/>
      <c r="I35" s="508"/>
      <c r="J35" s="508"/>
      <c r="K35" s="508"/>
      <c r="L35" s="474"/>
    </row>
    <row r="36" spans="1:12" ht="12" customHeight="1">
      <c r="A36" s="474"/>
      <c r="B36" s="520" t="s">
        <v>440</v>
      </c>
      <c r="C36" s="416">
        <f>(C6+C9)*2</f>
        <v>0</v>
      </c>
      <c r="D36" s="417"/>
      <c r="E36" s="413">
        <f t="shared" si="1"/>
        <v>0</v>
      </c>
      <c r="F36" s="508"/>
      <c r="G36" s="508"/>
      <c r="H36" s="508"/>
      <c r="I36" s="508"/>
      <c r="J36" s="508"/>
      <c r="K36" s="508"/>
      <c r="L36" s="474"/>
    </row>
    <row r="37" spans="1:12" ht="12" customHeight="1">
      <c r="A37" s="474"/>
      <c r="B37" s="520" t="s">
        <v>607</v>
      </c>
      <c r="C37" s="416">
        <f>(C8+C11)*2</f>
        <v>0</v>
      </c>
      <c r="D37" s="417"/>
      <c r="E37" s="413">
        <f>C37*D37</f>
        <v>0</v>
      </c>
      <c r="F37" s="508"/>
      <c r="G37" s="508"/>
      <c r="H37" s="508"/>
      <c r="I37" s="508"/>
      <c r="J37" s="508"/>
      <c r="K37" s="508"/>
      <c r="L37" s="474"/>
    </row>
    <row r="38" spans="1:12" ht="12" customHeight="1">
      <c r="A38" s="474"/>
      <c r="B38" s="520" t="s">
        <v>441</v>
      </c>
      <c r="C38" s="416">
        <f>(C7+C10+C8+C11)*2</f>
        <v>0</v>
      </c>
      <c r="D38" s="417"/>
      <c r="E38" s="413">
        <f t="shared" si="1"/>
        <v>0</v>
      </c>
      <c r="F38" s="508"/>
      <c r="G38" s="508"/>
      <c r="H38" s="508"/>
      <c r="I38" s="508"/>
      <c r="J38" s="508"/>
      <c r="K38" s="508"/>
      <c r="L38" s="474"/>
    </row>
    <row r="39" spans="1:12" ht="12" customHeight="1">
      <c r="A39" s="474"/>
      <c r="B39" s="520" t="s">
        <v>651</v>
      </c>
      <c r="C39" s="416">
        <f>(C9+C10+C11)*3</f>
        <v>0</v>
      </c>
      <c r="D39" s="417"/>
      <c r="E39" s="413">
        <f t="shared" si="1"/>
        <v>0</v>
      </c>
      <c r="F39" s="508"/>
      <c r="G39" s="508"/>
      <c r="H39" s="508"/>
      <c r="I39" s="508"/>
      <c r="J39" s="508"/>
      <c r="K39" s="508"/>
      <c r="L39" s="474"/>
    </row>
    <row r="40" spans="1:12" ht="12" customHeight="1">
      <c r="A40" s="474"/>
      <c r="B40" s="520" t="s">
        <v>481</v>
      </c>
      <c r="C40" s="416">
        <f>C22*(C2+C4)*(C6+C7+C8+C9+C10+C11)</f>
        <v>0</v>
      </c>
      <c r="D40" s="417"/>
      <c r="E40" s="413">
        <f>C40*D40</f>
        <v>0</v>
      </c>
      <c r="F40" s="508"/>
      <c r="G40" s="508"/>
      <c r="H40" s="508"/>
      <c r="I40" s="508"/>
      <c r="J40" s="508"/>
      <c r="K40" s="508"/>
      <c r="L40" s="474"/>
    </row>
    <row r="41" spans="1:12" ht="12" customHeight="1">
      <c r="A41" s="474"/>
      <c r="B41" s="518" t="s">
        <v>481</v>
      </c>
      <c r="C41" s="416">
        <f>(C2+C4)*(C6+C7+C8+C9+C10+C11)</f>
        <v>0</v>
      </c>
      <c r="D41" s="417"/>
      <c r="E41" s="413">
        <f t="shared" si="1"/>
        <v>0</v>
      </c>
      <c r="F41" s="508"/>
      <c r="G41" s="508"/>
      <c r="H41" s="508"/>
      <c r="I41" s="508"/>
      <c r="J41" s="508"/>
      <c r="K41" s="508"/>
      <c r="L41" s="474"/>
    </row>
    <row r="42" spans="1:12" ht="12" customHeight="1">
      <c r="A42" s="474"/>
      <c r="B42" s="520" t="s">
        <v>370</v>
      </c>
      <c r="C42" s="416">
        <f>C21*2*(C2+C4)*(C6+C7+C8+C9+C10+C11)</f>
        <v>0</v>
      </c>
      <c r="D42" s="417"/>
      <c r="E42" s="413">
        <f t="shared" si="1"/>
        <v>0</v>
      </c>
      <c r="F42" s="508"/>
      <c r="G42" s="508"/>
      <c r="H42" s="508"/>
      <c r="I42" s="508"/>
      <c r="J42" s="508"/>
      <c r="K42" s="508"/>
      <c r="L42" s="474"/>
    </row>
    <row r="43" spans="1:12" ht="12" customHeight="1">
      <c r="A43" s="474"/>
      <c r="B43" s="520" t="s">
        <v>484</v>
      </c>
      <c r="C43" s="416">
        <f>C20*(C2+C4)*(C6+C7+C8+C9+C10+C11)</f>
        <v>0</v>
      </c>
      <c r="D43" s="422"/>
      <c r="E43" s="413">
        <f t="shared" si="1"/>
        <v>0</v>
      </c>
      <c r="F43" s="508"/>
      <c r="G43" s="508"/>
      <c r="H43" s="508"/>
      <c r="I43" s="508"/>
      <c r="J43" s="508"/>
      <c r="K43" s="508"/>
      <c r="L43" s="474"/>
    </row>
    <row r="44" spans="1:12" ht="12" customHeight="1">
      <c r="A44" s="474"/>
      <c r="B44" s="520" t="s">
        <v>474</v>
      </c>
      <c r="C44" s="416">
        <f>C22*(C2+C4)*(C6+C7+C8+C9+C10+C11)</f>
        <v>0</v>
      </c>
      <c r="D44" s="417"/>
      <c r="E44" s="413">
        <f t="shared" si="1"/>
        <v>0</v>
      </c>
      <c r="F44" s="508"/>
      <c r="G44" s="508"/>
      <c r="H44" s="508"/>
      <c r="I44" s="508"/>
      <c r="J44" s="508"/>
      <c r="K44" s="508"/>
      <c r="L44" s="474"/>
    </row>
    <row r="45" spans="1:12" ht="12" customHeight="1">
      <c r="A45" s="474"/>
      <c r="B45" s="520" t="s">
        <v>652</v>
      </c>
      <c r="C45" s="416">
        <f>C20*(C2+C4)*(C6+C7+C8+C9+C10+C11)</f>
        <v>0</v>
      </c>
      <c r="D45" s="417"/>
      <c r="E45" s="413">
        <f t="shared" si="1"/>
        <v>0</v>
      </c>
      <c r="F45" s="508"/>
      <c r="G45" s="508"/>
      <c r="H45" s="508"/>
      <c r="I45" s="508"/>
      <c r="J45" s="508"/>
      <c r="K45" s="508"/>
      <c r="L45" s="474"/>
    </row>
    <row r="46" spans="1:12" ht="12" customHeight="1">
      <c r="A46" s="474"/>
      <c r="B46" s="520" t="s">
        <v>371</v>
      </c>
      <c r="C46" s="416">
        <f>C19*(C2+C4)*(C6+C7+C8+C9+C10+C11)</f>
        <v>0</v>
      </c>
      <c r="D46" s="417"/>
      <c r="E46" s="413">
        <f t="shared" si="1"/>
        <v>0</v>
      </c>
      <c r="F46" s="508"/>
      <c r="G46" s="508"/>
      <c r="H46" s="508"/>
      <c r="I46" s="508"/>
      <c r="J46" s="508"/>
      <c r="K46" s="508"/>
      <c r="L46" s="474"/>
    </row>
    <row r="47" spans="1:12" ht="12" customHeight="1">
      <c r="A47" s="474"/>
      <c r="B47" s="520" t="s">
        <v>372</v>
      </c>
      <c r="C47" s="423">
        <f>C21*(C2+C4)*(C6+C7+C8+C9+C10+C11)</f>
        <v>0</v>
      </c>
      <c r="D47" s="417"/>
      <c r="E47" s="413">
        <f t="shared" si="1"/>
        <v>0</v>
      </c>
      <c r="F47" s="508"/>
      <c r="G47" s="508"/>
      <c r="H47" s="508"/>
      <c r="I47" s="508"/>
      <c r="J47" s="508"/>
      <c r="K47" s="508"/>
      <c r="L47" s="474"/>
    </row>
    <row r="48" spans="1:12" ht="12" customHeight="1">
      <c r="A48" s="474"/>
      <c r="B48" s="518" t="s">
        <v>468</v>
      </c>
      <c r="C48" s="423">
        <f>(C6+C9)*(C2+C4)</f>
        <v>0</v>
      </c>
      <c r="D48" s="417"/>
      <c r="E48" s="413">
        <f t="shared" si="1"/>
        <v>0</v>
      </c>
      <c r="F48" s="508"/>
      <c r="G48" s="508"/>
      <c r="H48" s="508"/>
      <c r="I48" s="508"/>
      <c r="J48" s="508"/>
      <c r="K48" s="508"/>
      <c r="L48" s="474"/>
    </row>
    <row r="49" spans="1:12" ht="12" customHeight="1">
      <c r="A49" s="474"/>
      <c r="B49" s="518" t="s">
        <v>469</v>
      </c>
      <c r="C49" s="423">
        <f>(C7+C10)*(C2+C4)</f>
        <v>0</v>
      </c>
      <c r="D49" s="417"/>
      <c r="E49" s="413">
        <f t="shared" si="1"/>
        <v>0</v>
      </c>
      <c r="F49" s="512"/>
      <c r="G49" s="508"/>
      <c r="H49" s="508"/>
      <c r="I49" s="508"/>
      <c r="J49" s="508"/>
      <c r="K49" s="508"/>
      <c r="L49" s="474"/>
    </row>
    <row r="50" spans="1:12" ht="12" customHeight="1">
      <c r="A50" s="474"/>
      <c r="B50" s="518" t="s">
        <v>608</v>
      </c>
      <c r="C50" s="423">
        <f>(C8+C11)*(C2+C4)</f>
        <v>0</v>
      </c>
      <c r="D50" s="417"/>
      <c r="E50" s="413">
        <f>C50*D50</f>
        <v>0</v>
      </c>
      <c r="F50" s="512"/>
      <c r="G50" s="508"/>
      <c r="H50" s="508"/>
      <c r="I50" s="508"/>
      <c r="J50" s="508"/>
      <c r="K50" s="508"/>
      <c r="L50" s="474"/>
    </row>
    <row r="51" spans="1:12" ht="12" customHeight="1">
      <c r="A51" s="474"/>
      <c r="B51" s="518" t="s">
        <v>429</v>
      </c>
      <c r="C51" s="423">
        <f>IF(C6+C7+C8=0,(C9+C10+C11)*(C2+C4),0)</f>
        <v>0</v>
      </c>
      <c r="D51" s="417"/>
      <c r="E51" s="413">
        <f t="shared" si="1"/>
        <v>0</v>
      </c>
      <c r="F51" s="508"/>
      <c r="G51" s="508"/>
      <c r="H51" s="508"/>
      <c r="I51" s="508"/>
      <c r="J51" s="508"/>
      <c r="K51" s="508"/>
      <c r="L51" s="474"/>
    </row>
    <row r="52" spans="1:12" ht="12" customHeight="1">
      <c r="A52" s="474"/>
      <c r="B52" s="520" t="s">
        <v>654</v>
      </c>
      <c r="C52" s="423">
        <f>(C6+C7+C8+C9+C10+C11)*2</f>
        <v>0</v>
      </c>
      <c r="D52" s="417"/>
      <c r="E52" s="413">
        <f t="shared" si="1"/>
        <v>0</v>
      </c>
      <c r="F52" s="508"/>
      <c r="G52" s="508"/>
      <c r="H52" s="508"/>
      <c r="I52" s="508"/>
      <c r="J52" s="508"/>
      <c r="K52" s="508"/>
      <c r="L52" s="474"/>
    </row>
    <row r="53" spans="1:12" ht="12" customHeight="1">
      <c r="A53" s="474"/>
      <c r="B53" s="520" t="s">
        <v>431</v>
      </c>
      <c r="C53" s="423">
        <f>(C9+C10+C11)*6</f>
        <v>0</v>
      </c>
      <c r="D53" s="417"/>
      <c r="E53" s="413">
        <f t="shared" si="1"/>
        <v>0</v>
      </c>
      <c r="F53" s="508"/>
      <c r="G53" s="508"/>
      <c r="H53" s="508"/>
      <c r="I53" s="508"/>
      <c r="J53" s="508"/>
      <c r="K53" s="508"/>
      <c r="L53" s="474"/>
    </row>
    <row r="54" spans="1:12" ht="12" customHeight="1">
      <c r="A54" s="474"/>
      <c r="B54" s="521" t="s">
        <v>609</v>
      </c>
      <c r="C54" s="423">
        <f>C14*(C8+C11)*2</f>
        <v>0</v>
      </c>
      <c r="D54" s="417"/>
      <c r="E54" s="413">
        <f t="shared" si="1"/>
        <v>0</v>
      </c>
      <c r="F54" s="508"/>
      <c r="G54" s="508"/>
      <c r="H54" s="508"/>
      <c r="I54" s="508"/>
      <c r="J54" s="508"/>
      <c r="K54" s="508"/>
      <c r="L54" s="474"/>
    </row>
    <row r="55" spans="1:12" ht="12" customHeight="1">
      <c r="A55" s="474"/>
      <c r="B55" s="521" t="s">
        <v>610</v>
      </c>
      <c r="C55" s="423">
        <f>C17*(C8+C11)*2</f>
        <v>0</v>
      </c>
      <c r="D55" s="417"/>
      <c r="E55" s="413">
        <f t="shared" si="1"/>
        <v>0</v>
      </c>
      <c r="F55" s="508"/>
      <c r="G55" s="508"/>
      <c r="H55" s="508"/>
      <c r="I55" s="508"/>
      <c r="J55" s="508"/>
      <c r="K55" s="508"/>
      <c r="L55" s="474"/>
    </row>
    <row r="56" spans="1:12" ht="12" customHeight="1">
      <c r="A56" s="474"/>
      <c r="B56" s="521" t="s">
        <v>385</v>
      </c>
      <c r="C56" s="423">
        <f>C12*(C6+C9)*2</f>
        <v>0</v>
      </c>
      <c r="D56" s="422"/>
      <c r="E56" s="413">
        <f t="shared" si="1"/>
        <v>0</v>
      </c>
      <c r="F56" s="522"/>
      <c r="G56" s="508"/>
      <c r="H56" s="508"/>
      <c r="I56" s="508"/>
      <c r="J56" s="508"/>
      <c r="K56" s="508"/>
      <c r="L56" s="474"/>
    </row>
    <row r="57" spans="1:12" ht="12" customHeight="1">
      <c r="A57" s="474"/>
      <c r="B57" s="521" t="s">
        <v>605</v>
      </c>
      <c r="C57" s="423">
        <f>C15*(C6+C9)*2</f>
        <v>0</v>
      </c>
      <c r="D57" s="422"/>
      <c r="E57" s="413">
        <f t="shared" si="1"/>
        <v>0</v>
      </c>
      <c r="F57" s="770"/>
      <c r="G57" s="508"/>
      <c r="H57" s="508"/>
      <c r="I57" s="508"/>
      <c r="J57" s="508"/>
      <c r="K57" s="508"/>
      <c r="L57" s="474"/>
    </row>
    <row r="58" spans="1:12" ht="12" customHeight="1">
      <c r="A58" s="474"/>
      <c r="B58" s="521" t="s">
        <v>443</v>
      </c>
      <c r="C58" s="423">
        <f>C13*(C7+C10)*2</f>
        <v>0</v>
      </c>
      <c r="D58" s="417"/>
      <c r="E58" s="413">
        <f t="shared" si="1"/>
        <v>0</v>
      </c>
      <c r="F58" s="716"/>
      <c r="G58" s="508"/>
      <c r="H58" s="508"/>
      <c r="I58" s="508"/>
      <c r="J58" s="508"/>
      <c r="K58" s="508"/>
      <c r="L58" s="474"/>
    </row>
    <row r="59" spans="1:12" ht="12" customHeight="1">
      <c r="A59" s="474"/>
      <c r="B59" s="594" t="s">
        <v>145</v>
      </c>
      <c r="C59" s="575">
        <f>C24</f>
        <v>0</v>
      </c>
      <c r="D59" s="591"/>
      <c r="E59" s="469">
        <f t="shared" si="1"/>
        <v>0</v>
      </c>
      <c r="F59" s="716"/>
      <c r="G59" s="508"/>
      <c r="H59" s="508"/>
      <c r="I59" s="508"/>
      <c r="J59" s="508"/>
      <c r="K59" s="508"/>
      <c r="L59" s="474"/>
    </row>
    <row r="60" spans="1:12" ht="12" customHeight="1">
      <c r="A60" s="474"/>
      <c r="B60" s="594" t="s">
        <v>148</v>
      </c>
      <c r="C60" s="575">
        <f>C23</f>
        <v>0</v>
      </c>
      <c r="D60" s="591"/>
      <c r="E60" s="469">
        <f t="shared" si="1"/>
        <v>0</v>
      </c>
      <c r="F60" s="716"/>
      <c r="G60" s="508"/>
      <c r="H60" s="508"/>
      <c r="I60" s="508"/>
      <c r="J60" s="508"/>
      <c r="K60" s="508"/>
      <c r="L60" s="474"/>
    </row>
    <row r="61" spans="1:12" ht="12" customHeight="1" thickBot="1">
      <c r="A61" s="474"/>
      <c r="B61" s="523" t="s">
        <v>606</v>
      </c>
      <c r="C61" s="471">
        <f>C16*(C7+C10)*2</f>
        <v>0</v>
      </c>
      <c r="D61" s="472"/>
      <c r="E61" s="473">
        <f t="shared" si="1"/>
        <v>0</v>
      </c>
      <c r="F61" s="716"/>
      <c r="G61" s="508"/>
      <c r="H61" s="508"/>
      <c r="I61" s="508"/>
      <c r="J61" s="508"/>
      <c r="K61" s="508"/>
      <c r="L61" s="474"/>
    </row>
    <row r="62" spans="1:12" ht="12" customHeight="1" thickBot="1">
      <c r="A62" s="474"/>
      <c r="B62" s="508"/>
      <c r="C62" s="508"/>
      <c r="D62" s="524" t="s">
        <v>9</v>
      </c>
      <c r="E62" s="596">
        <f>SUMIF(E27:E61,"&gt;0",E27:E61)</f>
        <v>0</v>
      </c>
      <c r="F62" s="716"/>
      <c r="G62" s="508"/>
      <c r="H62" s="508"/>
      <c r="I62" s="508"/>
      <c r="J62" s="508"/>
      <c r="K62" s="508"/>
      <c r="L62" s="474"/>
    </row>
    <row r="63" spans="1:12">
      <c r="A63" s="474"/>
      <c r="B63" s="508"/>
      <c r="C63" s="508"/>
      <c r="D63" s="508"/>
      <c r="E63" s="508"/>
      <c r="F63" s="716"/>
      <c r="G63" s="508"/>
      <c r="H63" s="508"/>
      <c r="I63" s="508"/>
      <c r="J63" s="508"/>
      <c r="K63" s="508"/>
      <c r="L63" s="474"/>
    </row>
    <row r="64" spans="1:12">
      <c r="A64" s="474"/>
      <c r="B64" s="474"/>
      <c r="C64" s="474"/>
      <c r="D64" s="474"/>
      <c r="E64" s="474"/>
      <c r="F64" s="474"/>
      <c r="G64" s="474"/>
      <c r="H64" s="474"/>
      <c r="I64" s="474"/>
      <c r="J64" s="474"/>
      <c r="K64" s="474"/>
      <c r="L64" s="474"/>
    </row>
    <row r="65" spans="1:12" ht="11.25" customHeight="1">
      <c r="A65" s="474"/>
      <c r="B65" s="474"/>
      <c r="C65" s="474"/>
      <c r="D65" s="474"/>
      <c r="E65" s="474"/>
      <c r="F65" s="474"/>
      <c r="G65" s="474"/>
      <c r="H65" s="474"/>
      <c r="I65" s="474"/>
      <c r="J65" s="474"/>
      <c r="K65" s="474"/>
      <c r="L65" s="474"/>
    </row>
    <row r="66" spans="1:12">
      <c r="A66" s="474"/>
      <c r="B66" s="474"/>
      <c r="C66" s="474"/>
      <c r="D66" s="474"/>
      <c r="E66" s="474"/>
      <c r="F66" s="474"/>
      <c r="G66" s="474"/>
      <c r="H66" s="474"/>
      <c r="I66" s="474"/>
      <c r="J66" s="474"/>
      <c r="K66" s="474"/>
      <c r="L66" s="474"/>
    </row>
    <row r="67" spans="1:12">
      <c r="A67" s="474"/>
      <c r="B67" s="474"/>
      <c r="C67" s="474"/>
      <c r="D67" s="474"/>
      <c r="E67" s="474"/>
      <c r="F67" s="474"/>
      <c r="G67" s="474"/>
      <c r="H67" s="474"/>
      <c r="I67" s="474"/>
      <c r="J67" s="474"/>
      <c r="K67" s="474"/>
      <c r="L67" s="474"/>
    </row>
    <row r="68" spans="1:12">
      <c r="A68" s="474"/>
      <c r="B68" s="474"/>
      <c r="C68" s="474"/>
      <c r="D68" s="474"/>
      <c r="E68" s="474"/>
      <c r="F68" s="474"/>
      <c r="G68" s="474"/>
      <c r="H68" s="474"/>
      <c r="I68" s="474"/>
      <c r="J68" s="474"/>
      <c r="K68" s="474"/>
      <c r="L68" s="474"/>
    </row>
    <row r="69" spans="1:12">
      <c r="A69" s="474"/>
      <c r="B69" s="474"/>
      <c r="C69" s="474"/>
      <c r="D69" s="474"/>
      <c r="E69" s="474"/>
      <c r="F69" s="474"/>
      <c r="G69" s="474"/>
      <c r="H69" s="474"/>
      <c r="I69" s="474"/>
      <c r="J69" s="474"/>
      <c r="K69" s="474"/>
      <c r="L69" s="474"/>
    </row>
    <row r="70" spans="1:12" ht="11.25" customHeight="1">
      <c r="A70" s="474"/>
      <c r="B70" s="474"/>
      <c r="C70" s="474"/>
      <c r="D70" s="474"/>
      <c r="E70" s="474"/>
      <c r="F70" s="474"/>
      <c r="G70" s="474"/>
      <c r="H70" s="474"/>
      <c r="I70" s="474"/>
      <c r="J70" s="474"/>
      <c r="K70" s="474"/>
      <c r="L70" s="474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121" priority="54" operator="greaterThan">
      <formula>0</formula>
    </cfRule>
  </conditionalFormatting>
  <conditionalFormatting sqref="C18">
    <cfRule type="cellIs" dxfId="120" priority="58" operator="greaterThan">
      <formula>0</formula>
    </cfRule>
  </conditionalFormatting>
  <conditionalFormatting sqref="C18">
    <cfRule type="cellIs" dxfId="119" priority="57" operator="greaterThan">
      <formula>0</formula>
    </cfRule>
  </conditionalFormatting>
  <conditionalFormatting sqref="C18">
    <cfRule type="cellIs" dxfId="118" priority="56" operator="greaterThan">
      <formula>0</formula>
    </cfRule>
  </conditionalFormatting>
  <conditionalFormatting sqref="C18">
    <cfRule type="cellIs" dxfId="117" priority="55" operator="greaterThan">
      <formula>0</formula>
    </cfRule>
  </conditionalFormatting>
  <conditionalFormatting sqref="C54:E54">
    <cfRule type="cellIs" dxfId="116" priority="53" operator="greaterThan">
      <formula>0</formula>
    </cfRule>
  </conditionalFormatting>
  <conditionalFormatting sqref="C55:E55">
    <cfRule type="cellIs" dxfId="115" priority="52" operator="greaterThan">
      <formula>0</formula>
    </cfRule>
  </conditionalFormatting>
  <conditionalFormatting sqref="C54:E55">
    <cfRule type="cellIs" dxfId="114" priority="51" operator="greaterThan">
      <formula>0</formula>
    </cfRule>
  </conditionalFormatting>
  <conditionalFormatting sqref="C54:E55">
    <cfRule type="cellIs" dxfId="113" priority="50" operator="greaterThan">
      <formula>0</formula>
    </cfRule>
  </conditionalFormatting>
  <conditionalFormatting sqref="C54:E55">
    <cfRule type="cellIs" dxfId="112" priority="49" operator="greaterThan">
      <formula>0</formula>
    </cfRule>
  </conditionalFormatting>
  <conditionalFormatting sqref="J3:J19">
    <cfRule type="cellIs" dxfId="111" priority="22" operator="greaterThan">
      <formula>0</formula>
    </cfRule>
    <cfRule type="cellIs" dxfId="110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109" priority="43" operator="equal">
      <formula>"ДА"</formula>
    </cfRule>
    <cfRule type="cellIs" dxfId="108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07" priority="40" operator="equal">
      <formula>"ДА"</formula>
    </cfRule>
    <cfRule type="cellIs" dxfId="106" priority="41" operator="equal">
      <formula>"НЕТ"</formula>
    </cfRule>
  </conditionalFormatting>
  <conditionalFormatting sqref="I5">
    <cfRule type="cellIs" dxfId="105" priority="37" operator="equal">
      <formula>"ДА"</formula>
    </cfRule>
    <cfRule type="cellIs" dxfId="104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103" priority="33" operator="equal">
      <formula>"ДА"</formula>
    </cfRule>
    <cfRule type="cellIs" dxfId="102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101" priority="29" operator="equal">
      <formula>"ДА"</formula>
    </cfRule>
    <cfRule type="cellIs" dxfId="100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99" priority="27" operator="equal">
      <formula>"ДА"</formula>
    </cfRule>
    <cfRule type="cellIs" dxfId="98" priority="28" operator="equal">
      <formula>"НЕТ"</formula>
    </cfRule>
  </conditionalFormatting>
  <conditionalFormatting sqref="I19">
    <cfRule type="cellIs" dxfId="97" priority="25" operator="equal">
      <formula>"ДА"</formula>
    </cfRule>
    <cfRule type="cellIs" dxfId="96" priority="26" operator="equal">
      <formula>"НЕТ"</formula>
    </cfRule>
  </conditionalFormatting>
  <conditionalFormatting sqref="K3:K19">
    <cfRule type="cellIs" dxfId="95" priority="24" operator="greaterThan">
      <formula>0</formula>
    </cfRule>
  </conditionalFormatting>
  <conditionalFormatting sqref="I15:I19">
    <cfRule type="cellIs" dxfId="94" priority="21" operator="equal">
      <formula>"НЕТ"</formula>
    </cfRule>
  </conditionalFormatting>
  <conditionalFormatting sqref="I3:I19">
    <cfRule type="cellIs" dxfId="93" priority="19" operator="equal">
      <formula>"НЕТ"</formula>
    </cfRule>
    <cfRule type="cellIs" dxfId="92" priority="20" operator="equal">
      <formula>"ДА"</formula>
    </cfRule>
  </conditionalFormatting>
  <conditionalFormatting sqref="I3:I18">
    <cfRule type="cellIs" dxfId="91" priority="18" operator="equal">
      <formula>"ДА"</formula>
    </cfRule>
  </conditionalFormatting>
  <conditionalFormatting sqref="I5">
    <cfRule type="cellIs" dxfId="90" priority="15" operator="equal">
      <formula>"ДА"</formula>
    </cfRule>
    <cfRule type="cellIs" dxfId="89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88" priority="12" operator="equal">
      <formula>"ДА"</formula>
    </cfRule>
    <cfRule type="cellIs" dxfId="87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86" priority="3" operator="greaterThan">
      <formula>0</formula>
    </cfRule>
    <cfRule type="cellIs" dxfId="85" priority="7" operator="greaterThan">
      <formula>0</formula>
    </cfRule>
    <cfRule type="cellIs" dxfId="84" priority="11" operator="greaterThan">
      <formula>0</formula>
    </cfRule>
  </conditionalFormatting>
  <conditionalFormatting sqref="I5">
    <cfRule type="cellIs" dxfId="83" priority="8" operator="equal">
      <formula>"ДА"</formula>
    </cfRule>
    <cfRule type="cellIs" dxfId="82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81" priority="6" operator="greaterThan">
      <formula>0</formula>
    </cfRule>
  </conditionalFormatting>
  <conditionalFormatting sqref="C44:E58 C61:E61">
    <cfRule type="cellIs" dxfId="80" priority="5" operator="greaterThan">
      <formula>0</formula>
    </cfRule>
  </conditionalFormatting>
  <conditionalFormatting sqref="E62">
    <cfRule type="cellIs" dxfId="79" priority="4" operator="greaterThan">
      <formula>0</formula>
    </cfRule>
  </conditionalFormatting>
  <conditionalFormatting sqref="C23:C24">
    <cfRule type="cellIs" dxfId="78" priority="2" operator="greaterThan">
      <formula>0</formula>
    </cfRule>
  </conditionalFormatting>
  <conditionalFormatting sqref="C59:E60">
    <cfRule type="cellIs" dxfId="77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6" sqref="H26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74"/>
      <c r="B1" s="1164"/>
      <c r="C1" s="1165"/>
      <c r="D1" s="1165"/>
      <c r="E1" s="1165"/>
      <c r="F1" s="474"/>
      <c r="G1" s="474"/>
      <c r="H1" s="474"/>
      <c r="I1" s="474"/>
      <c r="J1" s="474"/>
      <c r="K1" s="474"/>
    </row>
    <row r="2" spans="1:12" ht="12" customHeight="1" thickBot="1">
      <c r="A2" s="474"/>
      <c r="B2" s="476" t="s">
        <v>563</v>
      </c>
      <c r="C2" s="527">
        <v>0</v>
      </c>
      <c r="D2" s="1116" t="s">
        <v>602</v>
      </c>
      <c r="E2" s="1117"/>
      <c r="F2" s="1118"/>
      <c r="G2" s="508"/>
      <c r="H2" s="478" t="s">
        <v>492</v>
      </c>
      <c r="I2" s="757" t="s">
        <v>611</v>
      </c>
      <c r="J2" s="479" t="s">
        <v>4</v>
      </c>
      <c r="K2" s="480" t="s">
        <v>8</v>
      </c>
      <c r="L2" s="385"/>
    </row>
    <row r="3" spans="1:12" ht="12" customHeight="1">
      <c r="A3" s="474"/>
      <c r="B3" s="486" t="s">
        <v>564</v>
      </c>
      <c r="C3" s="620">
        <v>0</v>
      </c>
      <c r="D3" s="1136"/>
      <c r="E3" s="1122"/>
      <c r="F3" s="1123"/>
      <c r="G3" s="508"/>
      <c r="H3" s="482" t="s">
        <v>496</v>
      </c>
      <c r="I3" s="692" t="str">
        <f>IF(AND($C$8+$C$9=1,$C$10+$C$11=0,$C$12=1),"ДА","НЕТ")</f>
        <v>НЕТ</v>
      </c>
      <c r="J3" s="387"/>
      <c r="K3" s="388">
        <f>IF(I3="ДА",($C$6+$C$7)*J3,0)</f>
        <v>0</v>
      </c>
      <c r="L3" s="385"/>
    </row>
    <row r="4" spans="1:12" ht="12" customHeight="1">
      <c r="A4" s="474"/>
      <c r="B4" s="583" t="s">
        <v>565</v>
      </c>
      <c r="C4" s="688">
        <v>0</v>
      </c>
      <c r="D4" s="1136"/>
      <c r="E4" s="1122"/>
      <c r="F4" s="1123"/>
      <c r="G4" s="508"/>
      <c r="H4" s="487" t="s">
        <v>493</v>
      </c>
      <c r="I4" s="693" t="str">
        <f>IF(AND($C$8+$C$9=1,$C$10+$C$11=0,$C$12=3),"ДА","НЕТ")</f>
        <v>НЕТ</v>
      </c>
      <c r="J4" s="394"/>
      <c r="K4" s="388">
        <f t="shared" ref="K4:K15" si="0">IF(I4="ДА",($C$6+$C$7)*J4,0)</f>
        <v>0</v>
      </c>
      <c r="L4" s="385"/>
    </row>
    <row r="5" spans="1:12" ht="12" customHeight="1" thickBot="1">
      <c r="A5" s="474"/>
      <c r="B5" s="481" t="s">
        <v>566</v>
      </c>
      <c r="C5" s="528">
        <v>0</v>
      </c>
      <c r="D5" s="1119"/>
      <c r="E5" s="1120"/>
      <c r="F5" s="1121"/>
      <c r="G5" s="508"/>
      <c r="H5" s="487" t="s">
        <v>598</v>
      </c>
      <c r="I5" s="693" t="str">
        <f>IF(AND($C$8+$C$9=1,$C$10+$C$11=0,$C$12=3),"ДА","НЕТ")</f>
        <v>НЕТ</v>
      </c>
      <c r="J5" s="394"/>
      <c r="K5" s="388">
        <f t="shared" si="0"/>
        <v>0</v>
      </c>
      <c r="L5" s="385"/>
    </row>
    <row r="6" spans="1:12" ht="12" customHeight="1">
      <c r="A6" s="474"/>
      <c r="B6" s="476" t="s">
        <v>567</v>
      </c>
      <c r="C6" s="655">
        <v>0</v>
      </c>
      <c r="D6" s="1116" t="s">
        <v>604</v>
      </c>
      <c r="E6" s="1117"/>
      <c r="F6" s="1118"/>
      <c r="G6" s="508"/>
      <c r="H6" s="487" t="s">
        <v>494</v>
      </c>
      <c r="I6" s="693" t="str">
        <f>IF(AND($C$8+$C$9=1,$C$10+$C$11=0,$C$12=2),"ДА","НЕТ")</f>
        <v>НЕТ</v>
      </c>
      <c r="J6" s="394"/>
      <c r="K6" s="388">
        <f t="shared" si="0"/>
        <v>0</v>
      </c>
      <c r="L6" s="385"/>
    </row>
    <row r="7" spans="1:12" ht="12" customHeight="1" thickBot="1">
      <c r="A7" s="474"/>
      <c r="B7" s="509" t="s">
        <v>568</v>
      </c>
      <c r="C7" s="657">
        <v>0</v>
      </c>
      <c r="D7" s="1119"/>
      <c r="E7" s="1120"/>
      <c r="F7" s="1121"/>
      <c r="G7" s="508"/>
      <c r="H7" s="487" t="s">
        <v>495</v>
      </c>
      <c r="I7" s="693" t="str">
        <f>IF(AND($C$8+$C$9=1,$C$10+$C$11=0,$C$12=2),"ДА","НЕТ")</f>
        <v>НЕТ</v>
      </c>
      <c r="J7" s="394"/>
      <c r="K7" s="388">
        <f t="shared" si="0"/>
        <v>0</v>
      </c>
      <c r="L7" s="385"/>
    </row>
    <row r="8" spans="1:12" ht="12" customHeight="1">
      <c r="A8" s="474"/>
      <c r="B8" s="488" t="s">
        <v>505</v>
      </c>
      <c r="C8" s="618">
        <v>0</v>
      </c>
      <c r="D8" s="491" t="s">
        <v>294</v>
      </c>
      <c r="E8" s="492" t="s">
        <v>256</v>
      </c>
      <c r="F8" s="1125" t="s">
        <v>604</v>
      </c>
      <c r="G8" s="508"/>
      <c r="H8" s="487" t="s">
        <v>501</v>
      </c>
      <c r="I8" s="693" t="str">
        <f>IF(AND($C$8+$C$9=1,$C$10+$C$11=0,$C$12=2),"ДА","НЕТ")</f>
        <v>НЕТ</v>
      </c>
      <c r="J8" s="394"/>
      <c r="K8" s="388">
        <f t="shared" si="0"/>
        <v>0</v>
      </c>
      <c r="L8" s="385"/>
    </row>
    <row r="9" spans="1:12" ht="12" customHeight="1">
      <c r="A9" s="474"/>
      <c r="B9" s="486" t="s">
        <v>506</v>
      </c>
      <c r="C9" s="530">
        <v>0</v>
      </c>
      <c r="D9" s="493" t="s">
        <v>294</v>
      </c>
      <c r="E9" s="494" t="s">
        <v>256</v>
      </c>
      <c r="F9" s="1125"/>
      <c r="G9" s="508"/>
      <c r="H9" s="482" t="s">
        <v>597</v>
      </c>
      <c r="I9" s="693" t="str">
        <f>IF(AND($C$8+$C$9=1,$C$10+$C$11=0,$C$12=1),"ДА","НЕТ")</f>
        <v>НЕТ</v>
      </c>
      <c r="J9" s="387"/>
      <c r="K9" s="388">
        <f t="shared" si="0"/>
        <v>0</v>
      </c>
      <c r="L9" s="385"/>
    </row>
    <row r="10" spans="1:12" ht="12" customHeight="1">
      <c r="A10" s="474"/>
      <c r="B10" s="488" t="s">
        <v>507</v>
      </c>
      <c r="C10" s="531">
        <v>0</v>
      </c>
      <c r="D10" s="491" t="s">
        <v>294</v>
      </c>
      <c r="E10" s="492" t="s">
        <v>256</v>
      </c>
      <c r="F10" s="1125"/>
      <c r="G10" s="508"/>
      <c r="H10" s="482" t="s">
        <v>390</v>
      </c>
      <c r="I10" s="693" t="str">
        <f>IF(AND($C$8+$C$9=0,$C$10+$C$11=1,$C$12=1),"ДА","НЕТ")</f>
        <v>НЕТ</v>
      </c>
      <c r="J10" s="394"/>
      <c r="K10" s="388">
        <f t="shared" si="0"/>
        <v>0</v>
      </c>
      <c r="L10" s="385"/>
    </row>
    <row r="11" spans="1:12" ht="12" customHeight="1" thickBot="1">
      <c r="A11" s="474"/>
      <c r="B11" s="481" t="s">
        <v>508</v>
      </c>
      <c r="C11" s="532">
        <v>0</v>
      </c>
      <c r="D11" s="496" t="s">
        <v>294</v>
      </c>
      <c r="E11" s="497" t="s">
        <v>256</v>
      </c>
      <c r="F11" s="1126"/>
      <c r="G11" s="508"/>
      <c r="H11" s="485" t="s">
        <v>391</v>
      </c>
      <c r="I11" s="693" t="str">
        <f>IF(AND($C$8+$C$9=0,$C$10+$C$11=1,$C$12=1),"ДА","НЕТ")</f>
        <v>НЕТ</v>
      </c>
      <c r="J11" s="394"/>
      <c r="K11" s="388">
        <f t="shared" si="0"/>
        <v>0</v>
      </c>
      <c r="L11" s="385"/>
    </row>
    <row r="12" spans="1:12" ht="12" customHeight="1" thickBot="1">
      <c r="A12" s="474"/>
      <c r="B12" s="498" t="s">
        <v>596</v>
      </c>
      <c r="C12" s="617">
        <v>0</v>
      </c>
      <c r="D12" s="502" t="s">
        <v>626</v>
      </c>
      <c r="E12" s="503" t="s">
        <v>627</v>
      </c>
      <c r="F12" s="713" t="s">
        <v>628</v>
      </c>
      <c r="G12" s="508"/>
      <c r="H12" s="485" t="s">
        <v>392</v>
      </c>
      <c r="I12" s="693" t="str">
        <f>IF(AND($C$8+$C$9=0,$C$10+$C$11=1,$C$12=1),"ДА","НЕТ")</f>
        <v>НЕТ</v>
      </c>
      <c r="J12" s="397"/>
      <c r="K12" s="388">
        <f t="shared" si="0"/>
        <v>0</v>
      </c>
      <c r="L12" s="385"/>
    </row>
    <row r="13" spans="1:12" ht="12" customHeight="1">
      <c r="A13" s="474"/>
      <c r="B13" s="488" t="s">
        <v>404</v>
      </c>
      <c r="C13" s="531">
        <v>0</v>
      </c>
      <c r="D13" s="489" t="s">
        <v>294</v>
      </c>
      <c r="E13" s="490" t="s">
        <v>256</v>
      </c>
      <c r="F13" s="1137" t="s">
        <v>604</v>
      </c>
      <c r="G13" s="508"/>
      <c r="H13" s="482" t="s">
        <v>395</v>
      </c>
      <c r="I13" s="693" t="str">
        <f>IF(AND($C$8+$C$9=0,$C$10+$C$11=1,$C$12=2),"ДА","НЕТ")</f>
        <v>НЕТ</v>
      </c>
      <c r="J13" s="394"/>
      <c r="K13" s="388">
        <f t="shared" si="0"/>
        <v>0</v>
      </c>
      <c r="L13" s="385"/>
    </row>
    <row r="14" spans="1:12" ht="12" customHeight="1" thickBot="1">
      <c r="A14" s="474"/>
      <c r="B14" s="481" t="s">
        <v>405</v>
      </c>
      <c r="C14" s="532">
        <v>0</v>
      </c>
      <c r="D14" s="496" t="s">
        <v>294</v>
      </c>
      <c r="E14" s="497" t="s">
        <v>256</v>
      </c>
      <c r="F14" s="1138"/>
      <c r="G14" s="508"/>
      <c r="H14" s="485" t="s">
        <v>396</v>
      </c>
      <c r="I14" s="693" t="str">
        <f>IF(AND($C$8+$C$9=0,$C$10+$C$11=1,$C$12=2),"ДА","НЕТ")</f>
        <v>НЕТ</v>
      </c>
      <c r="J14" s="394"/>
      <c r="K14" s="388">
        <f t="shared" si="0"/>
        <v>0</v>
      </c>
      <c r="L14" s="385"/>
    </row>
    <row r="15" spans="1:12" ht="12" customHeight="1" thickBot="1">
      <c r="A15" s="474"/>
      <c r="B15" s="476" t="s">
        <v>147</v>
      </c>
      <c r="C15" s="533">
        <v>0</v>
      </c>
      <c r="D15" s="1127" t="s">
        <v>693</v>
      </c>
      <c r="E15" s="1128"/>
      <c r="F15" s="1129"/>
      <c r="G15" s="508"/>
      <c r="H15" s="506" t="s">
        <v>397</v>
      </c>
      <c r="I15" s="703" t="str">
        <f>IF(AND($C$8+$C$9=0,$C$10+$C$11=1,$C$12=2),"ДА","НЕТ")</f>
        <v>НЕТ</v>
      </c>
      <c r="J15" s="401"/>
      <c r="K15" s="544">
        <f t="shared" si="0"/>
        <v>0</v>
      </c>
      <c r="L15" s="385"/>
    </row>
    <row r="16" spans="1:12" ht="12" customHeight="1" thickBot="1">
      <c r="A16" s="474"/>
      <c r="B16" s="481" t="s">
        <v>146</v>
      </c>
      <c r="C16" s="532">
        <v>0</v>
      </c>
      <c r="D16" s="1133" t="s">
        <v>694</v>
      </c>
      <c r="E16" s="1134"/>
      <c r="F16" s="1135"/>
      <c r="G16" s="508"/>
      <c r="H16" s="633"/>
      <c r="I16" s="798"/>
      <c r="J16" s="405"/>
      <c r="K16" s="406"/>
      <c r="L16" s="385"/>
    </row>
    <row r="17" spans="1:12" ht="12" customHeight="1" thickBot="1">
      <c r="A17" s="474"/>
      <c r="B17" s="708"/>
      <c r="C17" s="708"/>
      <c r="D17" s="708"/>
      <c r="E17" s="708"/>
      <c r="F17" s="508"/>
      <c r="G17" s="508"/>
      <c r="H17" s="633"/>
      <c r="I17" s="798"/>
      <c r="J17" s="405"/>
      <c r="K17" s="406"/>
      <c r="L17" s="385"/>
    </row>
    <row r="18" spans="1:12" ht="12" customHeight="1" thickBot="1">
      <c r="A18" s="474"/>
      <c r="B18" s="563" t="s">
        <v>5</v>
      </c>
      <c r="C18" s="564" t="s">
        <v>0</v>
      </c>
      <c r="D18" s="565" t="s">
        <v>4</v>
      </c>
      <c r="E18" s="566" t="s">
        <v>8</v>
      </c>
      <c r="F18" s="508"/>
      <c r="G18" s="508"/>
      <c r="H18" s="508"/>
      <c r="I18" s="508"/>
      <c r="J18" s="508"/>
      <c r="K18" s="508"/>
      <c r="L18" s="385"/>
    </row>
    <row r="19" spans="1:12" ht="12" customHeight="1">
      <c r="A19" s="474"/>
      <c r="B19" s="520" t="s">
        <v>408</v>
      </c>
      <c r="C19" s="416">
        <f>(C2+C3)*(C6+C7)</f>
        <v>0</v>
      </c>
      <c r="D19" s="422"/>
      <c r="E19" s="413">
        <f t="shared" ref="E19:E43" si="1">C19*D19</f>
        <v>0</v>
      </c>
      <c r="F19" s="508"/>
      <c r="G19" s="508"/>
      <c r="H19" s="508"/>
      <c r="I19" s="508"/>
      <c r="J19" s="508"/>
      <c r="K19" s="508"/>
      <c r="L19" s="385"/>
    </row>
    <row r="20" spans="1:12" ht="12" customHeight="1">
      <c r="A20" s="474"/>
      <c r="B20" s="520" t="s">
        <v>409</v>
      </c>
      <c r="C20" s="416">
        <f>IF(C14=1,(C2+C3)*(C6+C7),0)</f>
        <v>0</v>
      </c>
      <c r="D20" s="422"/>
      <c r="E20" s="413">
        <f t="shared" si="1"/>
        <v>0</v>
      </c>
      <c r="F20" s="508"/>
      <c r="G20" s="508"/>
      <c r="H20" s="508"/>
      <c r="I20" s="508"/>
      <c r="J20" s="508"/>
      <c r="K20" s="508"/>
      <c r="L20" s="385"/>
    </row>
    <row r="21" spans="1:12" ht="12" customHeight="1">
      <c r="A21" s="474"/>
      <c r="B21" s="518" t="s">
        <v>406</v>
      </c>
      <c r="C21" s="411">
        <f>IF(AND(C13=1,C14=0),(C6+C7)*4,0)</f>
        <v>0</v>
      </c>
      <c r="D21" s="422"/>
      <c r="E21" s="413">
        <f t="shared" si="1"/>
        <v>0</v>
      </c>
      <c r="F21" s="508"/>
      <c r="G21" s="508"/>
      <c r="H21" s="508"/>
      <c r="I21" s="508"/>
      <c r="J21" s="508"/>
      <c r="K21" s="508"/>
      <c r="L21" s="385"/>
    </row>
    <row r="22" spans="1:12" ht="12" customHeight="1">
      <c r="A22" s="474"/>
      <c r="B22" s="518" t="s">
        <v>407</v>
      </c>
      <c r="C22" s="411">
        <f>IF(AND(C13=0,C14=1),(C6+C7)*2,0)</f>
        <v>0</v>
      </c>
      <c r="D22" s="422"/>
      <c r="E22" s="413">
        <f t="shared" si="1"/>
        <v>0</v>
      </c>
      <c r="F22" s="508"/>
      <c r="G22" s="508"/>
      <c r="H22" s="508"/>
      <c r="I22" s="508"/>
      <c r="J22" s="508"/>
      <c r="K22" s="508"/>
      <c r="L22" s="385"/>
    </row>
    <row r="23" spans="1:12" ht="12" customHeight="1">
      <c r="A23" s="474"/>
      <c r="B23" s="520" t="s">
        <v>648</v>
      </c>
      <c r="C23" s="416">
        <f>EVEN(ROUNDDOWN(IF((C6+C7)&gt;0,((C2+C3)/0.5)*(C6+C7),0),0))</f>
        <v>0</v>
      </c>
      <c r="D23" s="417"/>
      <c r="E23" s="413">
        <f t="shared" si="1"/>
        <v>0</v>
      </c>
      <c r="F23" s="508"/>
      <c r="G23" s="508"/>
      <c r="H23" s="508"/>
      <c r="I23" s="508"/>
      <c r="J23" s="508"/>
      <c r="K23" s="508"/>
      <c r="L23" s="385"/>
    </row>
    <row r="24" spans="1:12" ht="12" customHeight="1">
      <c r="A24" s="474"/>
      <c r="B24" s="518" t="s">
        <v>683</v>
      </c>
      <c r="C24" s="423">
        <f>(C2+C3)*(C6+C7)</f>
        <v>0</v>
      </c>
      <c r="D24" s="417"/>
      <c r="E24" s="413">
        <f t="shared" si="1"/>
        <v>0</v>
      </c>
      <c r="F24" s="508"/>
      <c r="G24" s="508"/>
      <c r="H24" s="508"/>
      <c r="I24" s="508"/>
      <c r="J24" s="508"/>
      <c r="K24" s="508"/>
      <c r="L24" s="385"/>
    </row>
    <row r="25" spans="1:12" ht="12" customHeight="1">
      <c r="A25" s="474"/>
      <c r="B25" s="520" t="s">
        <v>562</v>
      </c>
      <c r="C25" s="416">
        <f>C6+C7</f>
        <v>0</v>
      </c>
      <c r="D25" s="422"/>
      <c r="E25" s="413">
        <f t="shared" si="1"/>
        <v>0</v>
      </c>
      <c r="F25" s="508"/>
      <c r="G25" s="508"/>
      <c r="H25" s="508"/>
      <c r="I25" s="508"/>
      <c r="J25" s="508"/>
      <c r="K25" s="508"/>
      <c r="L25" s="385"/>
    </row>
    <row r="26" spans="1:12" ht="12" customHeight="1">
      <c r="A26" s="474"/>
      <c r="B26" s="520" t="s">
        <v>427</v>
      </c>
      <c r="C26" s="416">
        <f>IF((C8+C9)&gt;0,(C6+C7)*2,0)</f>
        <v>0</v>
      </c>
      <c r="D26" s="422"/>
      <c r="E26" s="413">
        <f t="shared" si="1"/>
        <v>0</v>
      </c>
      <c r="F26" s="508"/>
      <c r="G26" s="508"/>
      <c r="H26" s="508"/>
      <c r="I26" s="508"/>
      <c r="J26" s="508"/>
      <c r="K26" s="508"/>
      <c r="L26" s="385"/>
    </row>
    <row r="27" spans="1:12" ht="12" customHeight="1">
      <c r="A27" s="474"/>
      <c r="B27" s="520" t="s">
        <v>520</v>
      </c>
      <c r="C27" s="416">
        <f>IF((C10+C11)&gt;0,(C6+C7)*2,0)</f>
        <v>0</v>
      </c>
      <c r="D27" s="422"/>
      <c r="E27" s="413">
        <f t="shared" si="1"/>
        <v>0</v>
      </c>
      <c r="F27" s="508"/>
      <c r="G27" s="508"/>
      <c r="H27" s="508"/>
      <c r="I27" s="508"/>
      <c r="J27" s="508"/>
      <c r="K27" s="508"/>
      <c r="L27" s="385"/>
    </row>
    <row r="28" spans="1:12" ht="12" customHeight="1">
      <c r="A28" s="474"/>
      <c r="B28" s="518" t="s">
        <v>686</v>
      </c>
      <c r="C28" s="419">
        <f>(C6+C7)*2</f>
        <v>0</v>
      </c>
      <c r="D28" s="467"/>
      <c r="E28" s="413">
        <f t="shared" si="1"/>
        <v>0</v>
      </c>
      <c r="F28" s="508"/>
      <c r="G28" s="508"/>
      <c r="H28" s="508"/>
      <c r="I28" s="508"/>
      <c r="J28" s="508"/>
      <c r="K28" s="508"/>
      <c r="L28" s="385"/>
    </row>
    <row r="29" spans="1:12" ht="12" customHeight="1">
      <c r="A29" s="474"/>
      <c r="B29" s="520" t="s">
        <v>651</v>
      </c>
      <c r="C29" s="416">
        <f>(C6+C7)*3</f>
        <v>0</v>
      </c>
      <c r="D29" s="417"/>
      <c r="E29" s="413">
        <v>0</v>
      </c>
      <c r="F29" s="508"/>
      <c r="G29" s="508"/>
      <c r="H29" s="508"/>
      <c r="I29" s="508"/>
      <c r="J29" s="508"/>
      <c r="K29" s="508"/>
      <c r="L29" s="385"/>
    </row>
    <row r="30" spans="1:12" ht="12" customHeight="1">
      <c r="A30" s="474"/>
      <c r="B30" s="749" t="s">
        <v>431</v>
      </c>
      <c r="C30" s="468">
        <f>(C6+C7)*6</f>
        <v>0</v>
      </c>
      <c r="D30" s="326"/>
      <c r="E30" s="336">
        <v>0</v>
      </c>
      <c r="F30" s="508"/>
      <c r="G30" s="508"/>
      <c r="H30" s="508"/>
      <c r="I30" s="508"/>
      <c r="J30" s="508"/>
      <c r="K30" s="508"/>
      <c r="L30" s="385"/>
    </row>
    <row r="31" spans="1:12" ht="12" customHeight="1">
      <c r="A31" s="474"/>
      <c r="B31" s="520" t="s">
        <v>439</v>
      </c>
      <c r="C31" s="411">
        <f>C6*2</f>
        <v>0</v>
      </c>
      <c r="D31" s="465"/>
      <c r="E31" s="413">
        <f t="shared" si="1"/>
        <v>0</v>
      </c>
      <c r="F31" s="508"/>
      <c r="G31" s="508"/>
      <c r="H31" s="508"/>
      <c r="I31" s="508"/>
      <c r="J31" s="508"/>
      <c r="K31" s="508"/>
      <c r="L31" s="385"/>
    </row>
    <row r="32" spans="1:12" ht="12" customHeight="1">
      <c r="A32" s="474"/>
      <c r="B32" s="520" t="s">
        <v>440</v>
      </c>
      <c r="C32" s="416">
        <f>C6*4</f>
        <v>0</v>
      </c>
      <c r="D32" s="422"/>
      <c r="E32" s="413">
        <f t="shared" si="1"/>
        <v>0</v>
      </c>
      <c r="F32" s="508"/>
      <c r="G32" s="508"/>
      <c r="H32" s="508"/>
      <c r="I32" s="508"/>
      <c r="J32" s="508"/>
      <c r="K32" s="508"/>
      <c r="L32" s="385"/>
    </row>
    <row r="33" spans="1:12" ht="12" customHeight="1">
      <c r="A33" s="474"/>
      <c r="B33" s="520" t="s">
        <v>441</v>
      </c>
      <c r="C33" s="416">
        <f>C7*2</f>
        <v>0</v>
      </c>
      <c r="D33" s="422"/>
      <c r="E33" s="413">
        <f t="shared" si="1"/>
        <v>0</v>
      </c>
      <c r="F33" s="508"/>
      <c r="G33" s="508"/>
      <c r="H33" s="508"/>
      <c r="I33" s="508"/>
      <c r="J33" s="508"/>
      <c r="K33" s="508"/>
      <c r="L33" s="385"/>
    </row>
    <row r="34" spans="1:12" ht="12" customHeight="1">
      <c r="A34" s="474"/>
      <c r="B34" s="518" t="s">
        <v>481</v>
      </c>
      <c r="C34" s="416">
        <f>(C2+C3)*(C6+C7)*2</f>
        <v>0</v>
      </c>
      <c r="D34" s="422"/>
      <c r="E34" s="413">
        <f t="shared" si="1"/>
        <v>0</v>
      </c>
      <c r="F34" s="508"/>
      <c r="G34" s="508"/>
      <c r="H34" s="508"/>
      <c r="I34" s="508"/>
      <c r="J34" s="508"/>
      <c r="K34" s="508"/>
      <c r="L34" s="385"/>
    </row>
    <row r="35" spans="1:12" ht="12" customHeight="1">
      <c r="A35" s="474"/>
      <c r="B35" s="518" t="s">
        <v>468</v>
      </c>
      <c r="C35" s="423">
        <f>IF(AND(C6&gt;0,C7=0),(C2+C3)*C6,0)</f>
        <v>0</v>
      </c>
      <c r="D35" s="422"/>
      <c r="E35" s="413">
        <f t="shared" si="1"/>
        <v>0</v>
      </c>
      <c r="F35" s="508"/>
      <c r="G35" s="508"/>
      <c r="H35" s="508"/>
      <c r="I35" s="508"/>
      <c r="J35" s="508"/>
      <c r="K35" s="508"/>
      <c r="L35" s="385"/>
    </row>
    <row r="36" spans="1:12" ht="12" customHeight="1">
      <c r="A36" s="474"/>
      <c r="B36" s="518" t="s">
        <v>469</v>
      </c>
      <c r="C36" s="423">
        <f>IF(AND(C7&gt;0,C6=0),(C2+C3)*C6,0)</f>
        <v>0</v>
      </c>
      <c r="D36" s="422"/>
      <c r="E36" s="413">
        <f t="shared" si="1"/>
        <v>0</v>
      </c>
      <c r="F36" s="508"/>
      <c r="G36" s="508"/>
      <c r="H36" s="508"/>
      <c r="I36" s="508"/>
      <c r="J36" s="508"/>
      <c r="K36" s="508"/>
      <c r="L36" s="385"/>
    </row>
    <row r="37" spans="1:12" ht="12" customHeight="1">
      <c r="A37" s="474"/>
      <c r="B37" s="520" t="s">
        <v>654</v>
      </c>
      <c r="C37" s="423">
        <f>(C6+C7)*2</f>
        <v>0</v>
      </c>
      <c r="D37" s="422"/>
      <c r="E37" s="413">
        <f t="shared" si="1"/>
        <v>0</v>
      </c>
      <c r="F37" s="508"/>
      <c r="G37" s="508"/>
      <c r="H37" s="508"/>
      <c r="I37" s="508"/>
      <c r="J37" s="508"/>
      <c r="K37" s="508"/>
      <c r="L37" s="385"/>
    </row>
    <row r="38" spans="1:12" ht="12" customHeight="1">
      <c r="A38" s="474"/>
      <c r="B38" s="521" t="s">
        <v>385</v>
      </c>
      <c r="C38" s="423">
        <f>C8*C6*2</f>
        <v>0</v>
      </c>
      <c r="D38" s="422"/>
      <c r="E38" s="413">
        <f t="shared" si="1"/>
        <v>0</v>
      </c>
      <c r="F38" s="508"/>
      <c r="G38" s="508"/>
      <c r="H38" s="508"/>
      <c r="I38" s="508"/>
      <c r="J38" s="508"/>
      <c r="K38" s="508"/>
      <c r="L38" s="385"/>
    </row>
    <row r="39" spans="1:12" ht="12" customHeight="1">
      <c r="A39" s="474"/>
      <c r="B39" s="521" t="s">
        <v>605</v>
      </c>
      <c r="C39" s="423">
        <f>C10*C8*2</f>
        <v>0</v>
      </c>
      <c r="D39" s="422"/>
      <c r="E39" s="413">
        <f t="shared" si="1"/>
        <v>0</v>
      </c>
      <c r="F39" s="508"/>
      <c r="G39" s="508"/>
      <c r="H39" s="508"/>
      <c r="I39" s="508"/>
      <c r="J39" s="508"/>
      <c r="K39" s="508"/>
      <c r="L39" s="385"/>
    </row>
    <row r="40" spans="1:12" ht="12" customHeight="1">
      <c r="A40" s="474"/>
      <c r="B40" s="521" t="s">
        <v>443</v>
      </c>
      <c r="C40" s="423">
        <f>C9*C7*2</f>
        <v>0</v>
      </c>
      <c r="D40" s="422"/>
      <c r="E40" s="413">
        <f t="shared" si="1"/>
        <v>0</v>
      </c>
      <c r="F40" s="508"/>
      <c r="G40" s="508"/>
      <c r="H40" s="508"/>
      <c r="I40" s="508"/>
      <c r="J40" s="508"/>
      <c r="K40" s="508"/>
      <c r="L40" s="385"/>
    </row>
    <row r="41" spans="1:12" ht="12" customHeight="1">
      <c r="A41" s="474"/>
      <c r="B41" s="594" t="s">
        <v>145</v>
      </c>
      <c r="C41" s="575">
        <f>C16</f>
        <v>0</v>
      </c>
      <c r="D41" s="591"/>
      <c r="E41" s="469">
        <f t="shared" si="1"/>
        <v>0</v>
      </c>
      <c r="F41" s="508"/>
      <c r="G41" s="508"/>
      <c r="H41" s="508"/>
      <c r="I41" s="508"/>
      <c r="J41" s="508"/>
      <c r="K41" s="508"/>
      <c r="L41" s="385"/>
    </row>
    <row r="42" spans="1:12" ht="12" customHeight="1">
      <c r="A42" s="474"/>
      <c r="B42" s="594" t="s">
        <v>148</v>
      </c>
      <c r="C42" s="575">
        <f>C15</f>
        <v>0</v>
      </c>
      <c r="D42" s="591"/>
      <c r="E42" s="469">
        <f t="shared" si="1"/>
        <v>0</v>
      </c>
      <c r="F42" s="508"/>
      <c r="G42" s="508"/>
      <c r="H42" s="508"/>
      <c r="I42" s="508"/>
      <c r="J42" s="508"/>
      <c r="K42" s="508"/>
      <c r="L42" s="385"/>
    </row>
    <row r="43" spans="1:12" ht="12" customHeight="1" thickBot="1">
      <c r="A43" s="474"/>
      <c r="B43" s="523" t="s">
        <v>606</v>
      </c>
      <c r="C43" s="471">
        <f>C11*C7*2</f>
        <v>0</v>
      </c>
      <c r="D43" s="542"/>
      <c r="E43" s="473">
        <f t="shared" si="1"/>
        <v>0</v>
      </c>
      <c r="F43" s="508"/>
      <c r="G43" s="508"/>
      <c r="H43" s="508"/>
      <c r="I43" s="508"/>
      <c r="J43" s="508"/>
      <c r="K43" s="508"/>
      <c r="L43" s="385"/>
    </row>
    <row r="44" spans="1:12" ht="12" customHeight="1" thickBot="1">
      <c r="A44" s="474"/>
      <c r="B44" s="508"/>
      <c r="C44" s="508"/>
      <c r="D44" s="524" t="s">
        <v>9</v>
      </c>
      <c r="E44" s="596">
        <f>SUMIF(E19:E43,"&gt;0",E19:E43)</f>
        <v>0</v>
      </c>
      <c r="F44" s="508"/>
      <c r="G44" s="508"/>
      <c r="H44" s="508"/>
      <c r="I44" s="508"/>
      <c r="J44" s="508"/>
      <c r="K44" s="508"/>
      <c r="L44" s="385"/>
    </row>
    <row r="45" spans="1:12">
      <c r="A45" s="474"/>
      <c r="B45" s="508"/>
      <c r="C45" s="508"/>
      <c r="D45" s="508"/>
      <c r="E45" s="508"/>
      <c r="F45" s="508"/>
      <c r="G45" s="508"/>
      <c r="H45" s="508"/>
      <c r="I45" s="508"/>
      <c r="J45" s="508"/>
      <c r="K45" s="508"/>
      <c r="L45" s="385"/>
    </row>
    <row r="46" spans="1:12">
      <c r="A46" s="474"/>
      <c r="B46" s="508"/>
      <c r="C46" s="508"/>
      <c r="D46" s="508"/>
      <c r="E46" s="508"/>
      <c r="F46" s="508"/>
      <c r="G46" s="508"/>
      <c r="H46" s="508"/>
      <c r="I46" s="508"/>
      <c r="J46" s="508"/>
      <c r="K46" s="508"/>
      <c r="L46" s="385"/>
    </row>
    <row r="47" spans="1:12" ht="11.25" customHeight="1">
      <c r="A47" s="474"/>
      <c r="B47" s="508"/>
      <c r="C47" s="508"/>
      <c r="D47" s="508"/>
      <c r="E47" s="508"/>
      <c r="F47" s="508"/>
      <c r="G47" s="508"/>
      <c r="H47" s="508"/>
      <c r="I47" s="508"/>
      <c r="J47" s="508"/>
      <c r="K47" s="508"/>
      <c r="L47" s="385"/>
    </row>
    <row r="48" spans="1:12">
      <c r="A48" s="474"/>
      <c r="B48" s="508"/>
      <c r="C48" s="508"/>
      <c r="D48" s="508"/>
      <c r="E48" s="508"/>
      <c r="F48" s="508"/>
      <c r="G48" s="508"/>
      <c r="H48" s="508"/>
      <c r="I48" s="508"/>
      <c r="J48" s="508"/>
      <c r="K48" s="508"/>
      <c r="L48" s="385"/>
    </row>
    <row r="49" spans="2:12">
      <c r="B49" s="385"/>
      <c r="C49" s="385"/>
      <c r="D49" s="385"/>
      <c r="E49" s="385"/>
      <c r="F49" s="385"/>
      <c r="G49" s="385"/>
      <c r="H49" s="385"/>
      <c r="I49" s="385"/>
      <c r="J49" s="385"/>
      <c r="K49" s="385"/>
      <c r="L49" s="385"/>
    </row>
    <row r="50" spans="2:12">
      <c r="B50" s="385"/>
      <c r="C50" s="385"/>
      <c r="D50" s="385"/>
      <c r="E50" s="385"/>
      <c r="F50" s="385"/>
      <c r="G50" s="385"/>
      <c r="H50" s="385"/>
      <c r="I50" s="385"/>
      <c r="J50" s="385"/>
      <c r="K50" s="385"/>
      <c r="L50" s="385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76" priority="34" operator="greaterThan">
      <formula>0</formula>
    </cfRule>
  </conditionalFormatting>
  <conditionalFormatting sqref="C12">
    <cfRule type="cellIs" dxfId="75" priority="35" operator="greaterThan">
      <formula>0</formula>
    </cfRule>
  </conditionalFormatting>
  <conditionalFormatting sqref="C12">
    <cfRule type="cellIs" dxfId="74" priority="39" operator="greaterThan">
      <formula>0</formula>
    </cfRule>
  </conditionalFormatting>
  <conditionalFormatting sqref="C12">
    <cfRule type="cellIs" dxfId="73" priority="38" operator="greaterThan">
      <formula>0</formula>
    </cfRule>
  </conditionalFormatting>
  <conditionalFormatting sqref="C12">
    <cfRule type="cellIs" dxfId="72" priority="37" operator="greaterThan">
      <formula>0</formula>
    </cfRule>
  </conditionalFormatting>
  <conditionalFormatting sqref="C12">
    <cfRule type="cellIs" dxfId="71" priority="36" operator="greaterThan">
      <formula>0</formula>
    </cfRule>
  </conditionalFormatting>
  <conditionalFormatting sqref="J3:K17">
    <cfRule type="cellIs" dxfId="70" priority="6" operator="greaterThan">
      <formula>0</formula>
    </cfRule>
    <cfRule type="cellIs" dxfId="69" priority="10" operator="greaterThan">
      <formula>0</formula>
    </cfRule>
  </conditionalFormatting>
  <conditionalFormatting sqref="J3:J17">
    <cfRule type="cellIs" dxfId="68" priority="11" operator="greaterThan">
      <formula>0</formula>
    </cfRule>
    <cfRule type="cellIs" dxfId="67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" priority="28" operator="equal">
      <formula>"ДА"</formula>
    </cfRule>
    <cfRule type="cellIs" dxfId="65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" priority="25" operator="equal">
      <formula>"ДА"</formula>
    </cfRule>
    <cfRule type="cellIs" dxfId="63" priority="26" operator="equal">
      <formula>"НЕТ"</formula>
    </cfRule>
  </conditionalFormatting>
  <conditionalFormatting sqref="I5">
    <cfRule type="cellIs" dxfId="62" priority="22" operator="equal">
      <formula>"ДА"</formula>
    </cfRule>
    <cfRule type="cellIs" dxfId="61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0" priority="18" operator="equal">
      <formula>"ДА"</formula>
    </cfRule>
    <cfRule type="cellIs" dxfId="59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58" priority="14" operator="equal">
      <formula>"ДА"</formula>
    </cfRule>
    <cfRule type="cellIs" dxfId="57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56" priority="13" operator="greaterThan">
      <formula>0</formula>
    </cfRule>
  </conditionalFormatting>
  <conditionalFormatting sqref="C2:C14">
    <cfRule type="cellIs" dxfId="55" priority="9" operator="greaterThan">
      <formula>0</formula>
    </cfRule>
  </conditionalFormatting>
  <conditionalFormatting sqref="C19:E29 C31:E40 C43:E43">
    <cfRule type="cellIs" dxfId="54" priority="8" operator="greaterThan">
      <formula>0</formula>
    </cfRule>
  </conditionalFormatting>
  <conditionalFormatting sqref="E44">
    <cfRule type="cellIs" dxfId="53" priority="7" operator="greaterThan">
      <formula>0</formula>
    </cfRule>
  </conditionalFormatting>
  <conditionalFormatting sqref="C30">
    <cfRule type="cellIs" dxfId="52" priority="3" operator="greaterThan">
      <formula>0</formula>
    </cfRule>
  </conditionalFormatting>
  <conditionalFormatting sqref="D30:E30">
    <cfRule type="cellIs" dxfId="51" priority="5" operator="greaterThan">
      <formula>0</formula>
    </cfRule>
  </conditionalFormatting>
  <conditionalFormatting sqref="C30">
    <cfRule type="cellIs" dxfId="50" priority="4" operator="greaterThan">
      <formula>0</formula>
    </cfRule>
  </conditionalFormatting>
  <conditionalFormatting sqref="C15:C16">
    <cfRule type="cellIs" dxfId="49" priority="2" operator="greaterThan">
      <formula>0</formula>
    </cfRule>
  </conditionalFormatting>
  <conditionalFormatting sqref="C41:E42">
    <cfRule type="cellIs" dxfId="4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tabSelected="1" workbookViewId="0">
      <pane ySplit="23" topLeftCell="A36" activePane="bottomLeft" state="frozen"/>
      <selection pane="bottomLeft" activeCell="H44" sqref="H44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74"/>
      <c r="B1" s="1191"/>
      <c r="C1" s="1191"/>
      <c r="D1" s="1191"/>
      <c r="E1" s="1191"/>
      <c r="F1" s="474"/>
      <c r="G1" s="474"/>
      <c r="H1" s="474"/>
      <c r="I1" s="474"/>
      <c r="J1" s="474"/>
      <c r="K1" s="474"/>
      <c r="L1" s="474"/>
      <c r="M1" s="474"/>
    </row>
    <row r="2" spans="1:13" ht="12" customHeight="1" thickBot="1">
      <c r="A2" s="474"/>
      <c r="B2" s="721" t="s">
        <v>563</v>
      </c>
      <c r="C2" s="677">
        <v>0</v>
      </c>
      <c r="D2" s="1116" t="s">
        <v>602</v>
      </c>
      <c r="E2" s="1117"/>
      <c r="F2" s="1118"/>
      <c r="G2" s="474"/>
      <c r="H2" s="478" t="s">
        <v>492</v>
      </c>
      <c r="I2" s="757" t="s">
        <v>611</v>
      </c>
      <c r="J2" s="479" t="s">
        <v>4</v>
      </c>
      <c r="K2" s="480" t="s">
        <v>8</v>
      </c>
      <c r="L2" s="474"/>
      <c r="M2" s="474"/>
    </row>
    <row r="3" spans="1:13" ht="12" customHeight="1">
      <c r="A3" s="474"/>
      <c r="B3" s="722" t="s">
        <v>564</v>
      </c>
      <c r="C3" s="314">
        <v>0</v>
      </c>
      <c r="D3" s="1136"/>
      <c r="E3" s="1122"/>
      <c r="F3" s="1123"/>
      <c r="G3" s="474"/>
      <c r="H3" s="482" t="s">
        <v>496</v>
      </c>
      <c r="I3" s="692" t="str">
        <f>IF(AND($C$9+$C$10+$C$11=1,$C$12+$C$13+$C$14=0,$C$15=1),"ДА","НЕТ")</f>
        <v>НЕТ</v>
      </c>
      <c r="J3" s="679"/>
      <c r="K3" s="388">
        <f>IF(I3="ДА",($C$6+$C$7+$C$8)*J3,0)</f>
        <v>0</v>
      </c>
      <c r="L3" s="474"/>
      <c r="M3" s="474"/>
    </row>
    <row r="4" spans="1:13" ht="12" customHeight="1">
      <c r="A4" s="474"/>
      <c r="B4" s="771" t="s">
        <v>565</v>
      </c>
      <c r="C4" s="687">
        <v>0</v>
      </c>
      <c r="D4" s="1136"/>
      <c r="E4" s="1122"/>
      <c r="F4" s="1123"/>
      <c r="G4" s="474"/>
      <c r="H4" s="487" t="s">
        <v>493</v>
      </c>
      <c r="I4" s="693" t="str">
        <f>IF(AND($C$9+$C$10+$C$11=1,$C$12+$C$13+$C$14=0,$C$15=3),"ДА","НЕТ")</f>
        <v>НЕТ</v>
      </c>
      <c r="J4" s="680"/>
      <c r="K4" s="392">
        <f t="shared" ref="K4:K19" si="0">IF(I4="ДА",($C$6+$C$7+$C$8)*J4,0)</f>
        <v>0</v>
      </c>
      <c r="L4" s="474"/>
      <c r="M4" s="474"/>
    </row>
    <row r="5" spans="1:13" ht="12" customHeight="1" thickBot="1">
      <c r="A5" s="474"/>
      <c r="B5" s="772" t="s">
        <v>566</v>
      </c>
      <c r="C5" s="678">
        <v>0</v>
      </c>
      <c r="D5" s="1119"/>
      <c r="E5" s="1120"/>
      <c r="F5" s="1121"/>
      <c r="G5" s="474"/>
      <c r="H5" s="487" t="s">
        <v>598</v>
      </c>
      <c r="I5" s="693" t="str">
        <f>IF(AND($C$9+$C$10+$C$11=1,$C$12+$C$13+$C$14=0,$C$15=3),"ДА","НЕТ")</f>
        <v>НЕТ</v>
      </c>
      <c r="J5" s="680"/>
      <c r="K5" s="392">
        <f t="shared" si="0"/>
        <v>0</v>
      </c>
      <c r="L5" s="474"/>
      <c r="M5" s="474"/>
    </row>
    <row r="6" spans="1:13" ht="12" customHeight="1">
      <c r="A6" s="474"/>
      <c r="B6" s="721" t="s">
        <v>569</v>
      </c>
      <c r="C6" s="652">
        <v>0</v>
      </c>
      <c r="D6" s="1116" t="s">
        <v>604</v>
      </c>
      <c r="E6" s="1117"/>
      <c r="F6" s="1118"/>
      <c r="G6" s="558"/>
      <c r="H6" s="487" t="s">
        <v>494</v>
      </c>
      <c r="I6" s="693" t="str">
        <f>IF(AND($C$9+$C$10+$C$11=1,$C$12+$C$13+$C$14=0,$C$15=2),"ДА","НЕТ")</f>
        <v>НЕТ</v>
      </c>
      <c r="J6" s="680"/>
      <c r="K6" s="392">
        <f t="shared" si="0"/>
        <v>0</v>
      </c>
      <c r="L6" s="474"/>
      <c r="M6" s="474"/>
    </row>
    <row r="7" spans="1:13" ht="12" customHeight="1">
      <c r="A7" s="474"/>
      <c r="B7" s="722" t="s">
        <v>568</v>
      </c>
      <c r="C7" s="653">
        <v>0</v>
      </c>
      <c r="D7" s="1136"/>
      <c r="E7" s="1122"/>
      <c r="F7" s="1123"/>
      <c r="G7" s="592"/>
      <c r="H7" s="487" t="s">
        <v>495</v>
      </c>
      <c r="I7" s="693" t="str">
        <f>IF(AND($C$9+$C$10+$C$11=1,$C$12+$C$13+$C$14=0,$C$15=2),"ДА","НЕТ")</f>
        <v>НЕТ</v>
      </c>
      <c r="J7" s="680"/>
      <c r="K7" s="392">
        <f t="shared" si="0"/>
        <v>0</v>
      </c>
      <c r="L7" s="474"/>
      <c r="M7" s="474"/>
    </row>
    <row r="8" spans="1:13" ht="12" customHeight="1" thickBot="1">
      <c r="A8" s="474"/>
      <c r="B8" s="723" t="s">
        <v>685</v>
      </c>
      <c r="C8" s="651">
        <v>0</v>
      </c>
      <c r="D8" s="1119"/>
      <c r="E8" s="1120"/>
      <c r="F8" s="1121"/>
      <c r="G8" s="592"/>
      <c r="H8" s="487" t="s">
        <v>501</v>
      </c>
      <c r="I8" s="693" t="str">
        <f>IF(AND($C$9+$C$10+$C$11=1,$C$12+$C$13+$C$14=0,$C$15=2),"ДА","НЕТ")</f>
        <v>НЕТ</v>
      </c>
      <c r="J8" s="680"/>
      <c r="K8" s="392">
        <f t="shared" si="0"/>
        <v>0</v>
      </c>
      <c r="L8" s="474"/>
      <c r="M8" s="474"/>
    </row>
    <row r="9" spans="1:13" ht="12" customHeight="1">
      <c r="A9" s="474"/>
      <c r="B9" s="721" t="s">
        <v>505</v>
      </c>
      <c r="C9" s="644">
        <v>0</v>
      </c>
      <c r="D9" s="735" t="s">
        <v>294</v>
      </c>
      <c r="E9" s="773" t="s">
        <v>256</v>
      </c>
      <c r="F9" s="1124" t="s">
        <v>604</v>
      </c>
      <c r="G9" s="474"/>
      <c r="H9" s="482" t="s">
        <v>597</v>
      </c>
      <c r="I9" s="693" t="str">
        <f>IF(AND($C$9+$C$10+$C$11=1,$C$12+$C$13+$C$14=0,$C$15=1),"ДА","НЕТ")</f>
        <v>НЕТ</v>
      </c>
      <c r="J9" s="679"/>
      <c r="K9" s="388">
        <f t="shared" si="0"/>
        <v>0</v>
      </c>
      <c r="L9" s="474"/>
      <c r="M9" s="474"/>
    </row>
    <row r="10" spans="1:13" ht="12" customHeight="1">
      <c r="A10" s="474"/>
      <c r="B10" s="722" t="s">
        <v>506</v>
      </c>
      <c r="C10" s="650">
        <v>0</v>
      </c>
      <c r="D10" s="727" t="s">
        <v>294</v>
      </c>
      <c r="E10" s="774" t="s">
        <v>256</v>
      </c>
      <c r="F10" s="1125"/>
      <c r="G10" s="474"/>
      <c r="H10" s="482" t="s">
        <v>390</v>
      </c>
      <c r="I10" s="693" t="str">
        <f>IF(AND($C$9+$C$10+$C$11+$C$14=0,$C$12+$C$13=1,$C$15=1),"ДА","НЕТ")</f>
        <v>НЕТ</v>
      </c>
      <c r="J10" s="681"/>
      <c r="K10" s="395">
        <f t="shared" si="0"/>
        <v>0</v>
      </c>
      <c r="L10" s="474"/>
      <c r="M10" s="474"/>
    </row>
    <row r="11" spans="1:13" ht="12" customHeight="1">
      <c r="A11" s="474"/>
      <c r="B11" s="722" t="s">
        <v>594</v>
      </c>
      <c r="C11" s="650">
        <v>0</v>
      </c>
      <c r="D11" s="727" t="s">
        <v>294</v>
      </c>
      <c r="E11" s="774" t="s">
        <v>256</v>
      </c>
      <c r="F11" s="1125"/>
      <c r="G11" s="474"/>
      <c r="H11" s="485" t="s">
        <v>391</v>
      </c>
      <c r="I11" s="693" t="str">
        <f>IF(AND($C$9+$C$10+$C$11+$C$14=0,$C$12+$C$13=1,$C$15=1),"ДА","НЕТ")</f>
        <v>НЕТ</v>
      </c>
      <c r="J11" s="681"/>
      <c r="K11" s="395">
        <f t="shared" si="0"/>
        <v>0</v>
      </c>
      <c r="L11" s="474"/>
      <c r="M11" s="474"/>
    </row>
    <row r="12" spans="1:13" ht="12" customHeight="1">
      <c r="A12" s="474"/>
      <c r="B12" s="724" t="s">
        <v>507</v>
      </c>
      <c r="C12" s="647">
        <v>0</v>
      </c>
      <c r="D12" s="725" t="s">
        <v>294</v>
      </c>
      <c r="E12" s="775" t="s">
        <v>256</v>
      </c>
      <c r="F12" s="1125"/>
      <c r="G12" s="474"/>
      <c r="H12" s="485" t="s">
        <v>392</v>
      </c>
      <c r="I12" s="693" t="str">
        <f>IF(AND($C$9+$C$10+$C$11+$C$14=0,$C$12+$C$13=1,$C$15=1),"ДА","НЕТ")</f>
        <v>НЕТ</v>
      </c>
      <c r="J12" s="682"/>
      <c r="K12" s="395">
        <f t="shared" si="0"/>
        <v>0</v>
      </c>
      <c r="L12" s="474"/>
      <c r="M12" s="474"/>
    </row>
    <row r="13" spans="1:13" ht="12" customHeight="1">
      <c r="A13" s="474"/>
      <c r="B13" s="722" t="s">
        <v>508</v>
      </c>
      <c r="C13" s="650">
        <v>0</v>
      </c>
      <c r="D13" s="727" t="s">
        <v>294</v>
      </c>
      <c r="E13" s="774" t="s">
        <v>256</v>
      </c>
      <c r="F13" s="1125"/>
      <c r="G13" s="474"/>
      <c r="H13" s="485" t="s">
        <v>599</v>
      </c>
      <c r="I13" s="693" t="str">
        <f>IF(AND($C$9+$C$10+C11+$C$12+$C$13=0,$C$14=1,$C$15=1),"ДА","НЕТ")</f>
        <v>НЕТ</v>
      </c>
      <c r="J13" s="682"/>
      <c r="K13" s="395">
        <f t="shared" si="0"/>
        <v>0</v>
      </c>
      <c r="L13" s="474"/>
      <c r="M13" s="474"/>
    </row>
    <row r="14" spans="1:13" ht="12" customHeight="1" thickBot="1">
      <c r="A14" s="474"/>
      <c r="B14" s="723" t="s">
        <v>595</v>
      </c>
      <c r="C14" s="654">
        <v>0</v>
      </c>
      <c r="D14" s="737" t="s">
        <v>294</v>
      </c>
      <c r="E14" s="776" t="s">
        <v>256</v>
      </c>
      <c r="F14" s="1126"/>
      <c r="G14" s="474"/>
      <c r="H14" s="485" t="s">
        <v>599</v>
      </c>
      <c r="I14" s="693" t="str">
        <f>IF(AND($C$9+$C$10+C12+$C$12+$C$13=0,$C$14=1,$C$15=1),"ДА","НЕТ")</f>
        <v>НЕТ</v>
      </c>
      <c r="J14" s="682"/>
      <c r="K14" s="395">
        <f t="shared" si="0"/>
        <v>0</v>
      </c>
      <c r="L14" s="474"/>
      <c r="M14" s="474"/>
    </row>
    <row r="15" spans="1:13" ht="12" customHeight="1" thickBot="1">
      <c r="A15" s="474"/>
      <c r="B15" s="583" t="s">
        <v>596</v>
      </c>
      <c r="C15" s="689">
        <v>0</v>
      </c>
      <c r="D15" s="695" t="s">
        <v>626</v>
      </c>
      <c r="E15" s="585" t="s">
        <v>627</v>
      </c>
      <c r="F15" s="586" t="s">
        <v>628</v>
      </c>
      <c r="G15" s="474"/>
      <c r="H15" s="482" t="s">
        <v>395</v>
      </c>
      <c r="I15" s="693" t="str">
        <f>IF(AND($C$9+$C$10+$C$11+$C$14=0,$C$12+$C$13=1,$C$15=2),"ДА","НЕТ")</f>
        <v>НЕТ</v>
      </c>
      <c r="J15" s="681"/>
      <c r="K15" s="395">
        <f t="shared" si="0"/>
        <v>0</v>
      </c>
      <c r="L15" s="474"/>
      <c r="M15" s="474"/>
    </row>
    <row r="16" spans="1:13" ht="12" customHeight="1">
      <c r="A16" s="474"/>
      <c r="B16" s="721" t="s">
        <v>368</v>
      </c>
      <c r="C16" s="644">
        <v>0</v>
      </c>
      <c r="D16" s="735" t="s">
        <v>294</v>
      </c>
      <c r="E16" s="773" t="s">
        <v>256</v>
      </c>
      <c r="F16" s="1124" t="s">
        <v>604</v>
      </c>
      <c r="G16" s="474"/>
      <c r="H16" s="485" t="s">
        <v>396</v>
      </c>
      <c r="I16" s="693" t="str">
        <f>IF(AND($C$9+$C$10+$C$11+$C$14=0,$C$12+$C$13=1,$C$15=2),"ДА","НЕТ")</f>
        <v>НЕТ</v>
      </c>
      <c r="J16" s="681"/>
      <c r="K16" s="395">
        <f t="shared" si="0"/>
        <v>0</v>
      </c>
      <c r="L16" s="474"/>
      <c r="M16" s="474"/>
    </row>
    <row r="17" spans="1:13" ht="12" customHeight="1">
      <c r="A17" s="474"/>
      <c r="B17" s="722" t="s">
        <v>369</v>
      </c>
      <c r="C17" s="650">
        <v>0</v>
      </c>
      <c r="D17" s="727" t="s">
        <v>294</v>
      </c>
      <c r="E17" s="774" t="s">
        <v>256</v>
      </c>
      <c r="F17" s="1125"/>
      <c r="G17" s="474"/>
      <c r="H17" s="485" t="s">
        <v>397</v>
      </c>
      <c r="I17" s="693" t="str">
        <f>IF(AND($C$9+$C$10+$C$11+$C$14=0,$C$12+$C$13=1,$C$15=2),"ДА","НЕТ")</f>
        <v>НЕТ</v>
      </c>
      <c r="J17" s="681"/>
      <c r="K17" s="392">
        <f t="shared" si="0"/>
        <v>0</v>
      </c>
      <c r="L17" s="474"/>
      <c r="M17" s="474"/>
    </row>
    <row r="18" spans="1:13" ht="12" customHeight="1">
      <c r="A18" s="474"/>
      <c r="B18" s="722" t="s">
        <v>474</v>
      </c>
      <c r="C18" s="650">
        <v>0</v>
      </c>
      <c r="D18" s="727" t="s">
        <v>294</v>
      </c>
      <c r="E18" s="774" t="s">
        <v>256</v>
      </c>
      <c r="F18" s="1125"/>
      <c r="G18" s="474"/>
      <c r="H18" s="482" t="s">
        <v>600</v>
      </c>
      <c r="I18" s="692" t="str">
        <f>IF(AND($C$9+$C$10+C16+$C$12+$C$13=0,$C$14=1,$C$15=2),"ДА","НЕТ")</f>
        <v>НЕТ</v>
      </c>
      <c r="J18" s="683"/>
      <c r="K18" s="399">
        <f t="shared" si="0"/>
        <v>0</v>
      </c>
      <c r="L18" s="474"/>
      <c r="M18" s="474"/>
    </row>
    <row r="19" spans="1:13" ht="12" customHeight="1" thickBot="1">
      <c r="A19" s="474"/>
      <c r="B19" s="772" t="s">
        <v>473</v>
      </c>
      <c r="C19" s="645">
        <v>0</v>
      </c>
      <c r="D19" s="737" t="s">
        <v>294</v>
      </c>
      <c r="E19" s="776" t="s">
        <v>256</v>
      </c>
      <c r="F19" s="1126"/>
      <c r="G19" s="474"/>
      <c r="H19" s="506" t="s">
        <v>601</v>
      </c>
      <c r="I19" s="703" t="str">
        <f>IF(AND($C$9+$C$10+C17+$C$12+$C$13=0,$C$14=1,$C$15=2),"ДА","НЕТ")</f>
        <v>НЕТ</v>
      </c>
      <c r="J19" s="684"/>
      <c r="K19" s="402">
        <f t="shared" si="0"/>
        <v>0</v>
      </c>
      <c r="L19" s="474"/>
      <c r="M19" s="474"/>
    </row>
    <row r="20" spans="1:13" ht="12" customHeight="1">
      <c r="A20" s="474"/>
      <c r="B20" s="476" t="s">
        <v>147</v>
      </c>
      <c r="C20" s="533">
        <v>0</v>
      </c>
      <c r="D20" s="1127" t="s">
        <v>693</v>
      </c>
      <c r="E20" s="1128"/>
      <c r="F20" s="1129"/>
      <c r="G20" s="474"/>
      <c r="H20" s="474"/>
      <c r="I20" s="474"/>
      <c r="J20" s="474"/>
      <c r="K20" s="474"/>
      <c r="L20" s="474"/>
      <c r="M20" s="474"/>
    </row>
    <row r="21" spans="1:13" s="88" customFormat="1" ht="12" customHeight="1" thickBot="1">
      <c r="A21" s="709"/>
      <c r="B21" s="481" t="s">
        <v>146</v>
      </c>
      <c r="C21" s="532">
        <v>0</v>
      </c>
      <c r="D21" s="1133" t="s">
        <v>694</v>
      </c>
      <c r="E21" s="1134"/>
      <c r="F21" s="1135"/>
      <c r="G21" s="709"/>
      <c r="H21" s="709"/>
      <c r="I21" s="709"/>
      <c r="J21" s="709"/>
      <c r="K21" s="709"/>
      <c r="L21" s="709"/>
      <c r="M21" s="709"/>
    </row>
    <row r="22" spans="1:13" ht="12" customHeight="1" thickBot="1">
      <c r="A22" s="474"/>
      <c r="B22" s="474"/>
      <c r="C22" s="474"/>
      <c r="D22" s="474"/>
      <c r="E22" s="474"/>
      <c r="F22" s="474"/>
      <c r="G22" s="474"/>
      <c r="H22" s="474"/>
      <c r="I22" s="474"/>
      <c r="J22" s="474"/>
      <c r="K22" s="474"/>
      <c r="L22" s="474"/>
      <c r="M22" s="474"/>
    </row>
    <row r="23" spans="1:13" ht="12" customHeight="1">
      <c r="A23" s="474"/>
      <c r="B23" s="777" t="s">
        <v>5</v>
      </c>
      <c r="C23" s="778" t="s">
        <v>0</v>
      </c>
      <c r="D23" s="779" t="s">
        <v>4</v>
      </c>
      <c r="E23" s="780" t="s">
        <v>8</v>
      </c>
      <c r="F23" s="474"/>
      <c r="G23" s="474"/>
      <c r="H23" s="474"/>
      <c r="I23" s="474"/>
      <c r="J23" s="474"/>
      <c r="K23" s="474"/>
      <c r="L23" s="474"/>
      <c r="M23" s="474"/>
    </row>
    <row r="24" spans="1:13" ht="12" customHeight="1">
      <c r="A24" s="474"/>
      <c r="B24" s="748" t="s">
        <v>570</v>
      </c>
      <c r="C24" s="331">
        <f>(C6+C7+C8)*2*C18</f>
        <v>0</v>
      </c>
      <c r="D24" s="339"/>
      <c r="E24" s="340">
        <f t="shared" ref="E24:E63" si="1">C24*D24</f>
        <v>0</v>
      </c>
      <c r="F24" s="474"/>
      <c r="G24" s="474"/>
      <c r="H24" s="474"/>
      <c r="I24" s="474"/>
      <c r="J24" s="474"/>
      <c r="K24" s="474"/>
      <c r="L24" s="474"/>
      <c r="M24" s="474"/>
    </row>
    <row r="25" spans="1:13" ht="12" customHeight="1">
      <c r="A25" s="474"/>
      <c r="B25" s="748" t="s">
        <v>571</v>
      </c>
      <c r="C25" s="331">
        <f>2*C19*(C6+C7+C8)</f>
        <v>0</v>
      </c>
      <c r="D25" s="781"/>
      <c r="E25" s="340">
        <f t="shared" si="1"/>
        <v>0</v>
      </c>
      <c r="F25" s="474"/>
      <c r="G25" s="474"/>
      <c r="H25" s="474"/>
      <c r="I25" s="474"/>
      <c r="J25" s="474"/>
      <c r="K25" s="474"/>
      <c r="L25" s="474"/>
      <c r="M25" s="474"/>
    </row>
    <row r="26" spans="1:13" ht="12" customHeight="1">
      <c r="A26" s="474"/>
      <c r="B26" s="748" t="s">
        <v>117</v>
      </c>
      <c r="C26" s="331">
        <f>(C17+C16)*4*(C6+C7+C8)</f>
        <v>0</v>
      </c>
      <c r="D26" s="781"/>
      <c r="E26" s="340">
        <f t="shared" si="1"/>
        <v>0</v>
      </c>
      <c r="F26" s="474"/>
      <c r="G26" s="474"/>
      <c r="H26" s="474"/>
      <c r="I26" s="474"/>
      <c r="J26" s="474"/>
      <c r="K26" s="474"/>
      <c r="L26" s="474"/>
      <c r="M26" s="474"/>
    </row>
    <row r="27" spans="1:13" ht="12" customHeight="1">
      <c r="A27" s="474"/>
      <c r="B27" s="749" t="s">
        <v>662</v>
      </c>
      <c r="C27" s="332">
        <f>EVEN(ROUNDDOWN(IF((C6+C7+C8)&gt;0,((C2+C3)/0.5)*(C6+C7+C8),0),0))</f>
        <v>0</v>
      </c>
      <c r="D27" s="339"/>
      <c r="E27" s="340">
        <f t="shared" si="1"/>
        <v>0</v>
      </c>
      <c r="F27" s="474"/>
      <c r="G27" s="474"/>
      <c r="H27" s="474"/>
      <c r="I27" s="474"/>
      <c r="J27" s="474"/>
      <c r="K27" s="474"/>
      <c r="L27" s="474"/>
      <c r="M27" s="474"/>
    </row>
    <row r="28" spans="1:13" ht="12" customHeight="1">
      <c r="A28" s="474"/>
      <c r="B28" s="749" t="s">
        <v>427</v>
      </c>
      <c r="C28" s="332">
        <f>IF(AND(C9+C10+C11&gt;0,C12+C13+C14=0),(C6+C7+C8)*2,0)</f>
        <v>0</v>
      </c>
      <c r="D28" s="339"/>
      <c r="E28" s="340">
        <f t="shared" si="1"/>
        <v>0</v>
      </c>
      <c r="F28" s="474"/>
      <c r="G28" s="474"/>
      <c r="H28" s="474"/>
      <c r="I28" s="474"/>
      <c r="J28" s="474"/>
      <c r="K28" s="474"/>
      <c r="L28" s="474"/>
      <c r="M28" s="474"/>
    </row>
    <row r="29" spans="1:13" ht="12" customHeight="1">
      <c r="A29" s="474"/>
      <c r="B29" s="749" t="s">
        <v>562</v>
      </c>
      <c r="C29" s="332">
        <f>C6+C7+C8</f>
        <v>0</v>
      </c>
      <c r="D29" s="339"/>
      <c r="E29" s="340">
        <f t="shared" si="1"/>
        <v>0</v>
      </c>
      <c r="F29" s="474"/>
      <c r="G29" s="474"/>
      <c r="H29" s="474"/>
      <c r="I29" s="474"/>
      <c r="J29" s="474"/>
      <c r="K29" s="474"/>
      <c r="L29" s="474"/>
      <c r="M29" s="474"/>
    </row>
    <row r="30" spans="1:13" ht="12" customHeight="1">
      <c r="A30" s="474"/>
      <c r="B30" s="749" t="s">
        <v>518</v>
      </c>
      <c r="C30" s="332">
        <f>IF(AND(C12+C13+C14&gt;0,C9+C10+C11=0),(C6+C7+C8)*2,0)</f>
        <v>0</v>
      </c>
      <c r="D30" s="339"/>
      <c r="E30" s="340">
        <f t="shared" si="1"/>
        <v>0</v>
      </c>
      <c r="F30" s="474"/>
      <c r="G30" s="474"/>
      <c r="H30" s="474"/>
      <c r="I30" s="474"/>
      <c r="J30" s="474"/>
      <c r="K30" s="474"/>
      <c r="L30" s="474"/>
      <c r="M30" s="474"/>
    </row>
    <row r="31" spans="1:13" ht="12" customHeight="1">
      <c r="A31" s="474"/>
      <c r="B31" s="748" t="s">
        <v>663</v>
      </c>
      <c r="C31" s="331">
        <f>C6+C7+C8</f>
        <v>0</v>
      </c>
      <c r="D31" s="339"/>
      <c r="E31" s="340">
        <f t="shared" si="1"/>
        <v>0</v>
      </c>
      <c r="F31" s="474"/>
      <c r="G31" s="474"/>
      <c r="H31" s="474"/>
      <c r="I31" s="474"/>
      <c r="J31" s="474"/>
      <c r="K31" s="474"/>
      <c r="L31" s="474"/>
      <c r="M31" s="474"/>
    </row>
    <row r="32" spans="1:13" ht="12" customHeight="1">
      <c r="A32" s="474"/>
      <c r="B32" s="748" t="s">
        <v>664</v>
      </c>
      <c r="C32" s="333">
        <f>C6+C7+C8</f>
        <v>0</v>
      </c>
      <c r="D32" s="339"/>
      <c r="E32" s="340">
        <f t="shared" si="1"/>
        <v>0</v>
      </c>
      <c r="F32" s="474"/>
      <c r="G32" s="474"/>
      <c r="H32" s="474"/>
      <c r="I32" s="474"/>
      <c r="J32" s="474"/>
      <c r="K32" s="474"/>
      <c r="L32" s="474"/>
      <c r="M32" s="474"/>
    </row>
    <row r="33" spans="1:13" ht="12" customHeight="1">
      <c r="A33" s="474"/>
      <c r="B33" s="748" t="s">
        <v>665</v>
      </c>
      <c r="C33" s="331">
        <f>(C6+C7+C8)*2</f>
        <v>0</v>
      </c>
      <c r="D33" s="339"/>
      <c r="E33" s="340">
        <f t="shared" si="1"/>
        <v>0</v>
      </c>
      <c r="F33" s="474"/>
      <c r="G33" s="474"/>
      <c r="H33" s="474"/>
      <c r="I33" s="474"/>
      <c r="J33" s="474"/>
      <c r="K33" s="474"/>
      <c r="L33" s="474"/>
      <c r="M33" s="474"/>
    </row>
    <row r="34" spans="1:13" ht="12" customHeight="1">
      <c r="A34" s="474"/>
      <c r="B34" s="749" t="s">
        <v>452</v>
      </c>
      <c r="C34" s="331">
        <f>IF(C7+C8=0,C6*2,0)</f>
        <v>0</v>
      </c>
      <c r="D34" s="339"/>
      <c r="E34" s="340">
        <f t="shared" si="1"/>
        <v>0</v>
      </c>
      <c r="F34" s="474"/>
      <c r="G34" s="474"/>
      <c r="H34" s="474"/>
      <c r="I34" s="474"/>
      <c r="J34" s="474"/>
      <c r="K34" s="474"/>
      <c r="L34" s="474"/>
      <c r="M34" s="474"/>
    </row>
    <row r="35" spans="1:13" ht="12" customHeight="1">
      <c r="A35" s="474"/>
      <c r="B35" s="749" t="s">
        <v>453</v>
      </c>
      <c r="C35" s="331">
        <f>IF(AND(C6&gt;0,C7+C8=0),C6*4,0)</f>
        <v>0</v>
      </c>
      <c r="D35" s="339"/>
      <c r="E35" s="340">
        <f t="shared" si="1"/>
        <v>0</v>
      </c>
      <c r="F35" s="474"/>
      <c r="G35" s="474"/>
      <c r="H35" s="474"/>
      <c r="I35" s="474"/>
      <c r="J35" s="474"/>
      <c r="K35" s="474"/>
      <c r="L35" s="474"/>
      <c r="M35" s="474"/>
    </row>
    <row r="36" spans="1:13" ht="12" customHeight="1">
      <c r="A36" s="474"/>
      <c r="B36" s="749" t="s">
        <v>659</v>
      </c>
      <c r="C36" s="331">
        <f>IF(AND(C8&gt;0,C6+C7=0),C8*4,0)</f>
        <v>0</v>
      </c>
      <c r="D36" s="339"/>
      <c r="E36" s="340">
        <f>C36*D36</f>
        <v>0</v>
      </c>
      <c r="F36" s="474"/>
      <c r="G36" s="474"/>
      <c r="H36" s="474"/>
      <c r="I36" s="474"/>
      <c r="J36" s="474"/>
      <c r="K36" s="474"/>
      <c r="L36" s="474"/>
      <c r="M36" s="474"/>
    </row>
    <row r="37" spans="1:13" ht="12" customHeight="1">
      <c r="A37" s="474"/>
      <c r="B37" s="749" t="s">
        <v>441</v>
      </c>
      <c r="C37" s="331">
        <f>IF(C6=0,(C7+C8)*2,0)</f>
        <v>0</v>
      </c>
      <c r="D37" s="339"/>
      <c r="E37" s="340">
        <f t="shared" si="1"/>
        <v>0</v>
      </c>
      <c r="F37" s="474"/>
      <c r="G37" s="474"/>
      <c r="H37" s="474"/>
      <c r="I37" s="474"/>
      <c r="J37" s="474"/>
      <c r="K37" s="474"/>
      <c r="L37" s="474"/>
      <c r="M37" s="474"/>
    </row>
    <row r="38" spans="1:13" ht="12" customHeight="1">
      <c r="A38" s="474"/>
      <c r="B38" s="748" t="s">
        <v>481</v>
      </c>
      <c r="C38" s="331">
        <f>(C6+C7+C8)*(C2+C3)</f>
        <v>0</v>
      </c>
      <c r="D38" s="339"/>
      <c r="E38" s="340">
        <f t="shared" si="1"/>
        <v>0</v>
      </c>
      <c r="F38" s="474"/>
      <c r="G38" s="474"/>
      <c r="H38" s="474"/>
      <c r="I38" s="474"/>
      <c r="J38" s="474"/>
      <c r="K38" s="474"/>
      <c r="L38" s="474"/>
      <c r="M38" s="474"/>
    </row>
    <row r="39" spans="1:13" ht="12" customHeight="1">
      <c r="A39" s="474"/>
      <c r="B39" s="748" t="s">
        <v>481</v>
      </c>
      <c r="C39" s="332">
        <f>(C2+C3)*C18*(C6+C7+C8)</f>
        <v>0</v>
      </c>
      <c r="D39" s="316"/>
      <c r="E39" s="340">
        <f t="shared" si="1"/>
        <v>0</v>
      </c>
      <c r="F39" s="592"/>
      <c r="G39" s="474"/>
      <c r="H39" s="474"/>
      <c r="I39" s="474"/>
      <c r="J39" s="474"/>
      <c r="K39" s="474"/>
      <c r="L39" s="474"/>
      <c r="M39" s="474"/>
    </row>
    <row r="40" spans="1:13" ht="12" customHeight="1">
      <c r="A40" s="474"/>
      <c r="B40" s="749" t="s">
        <v>370</v>
      </c>
      <c r="C40" s="332">
        <f>C17*2*(C2+C3)*(C6+C7+C8)</f>
        <v>0</v>
      </c>
      <c r="D40" s="316"/>
      <c r="E40" s="340">
        <f t="shared" si="1"/>
        <v>0</v>
      </c>
      <c r="F40" s="474"/>
      <c r="G40" s="474"/>
      <c r="H40" s="474"/>
      <c r="I40" s="474"/>
      <c r="J40" s="474"/>
      <c r="K40" s="474"/>
      <c r="L40" s="474"/>
      <c r="M40" s="474"/>
    </row>
    <row r="41" spans="1:13" ht="12" customHeight="1">
      <c r="A41" s="474"/>
      <c r="B41" s="749" t="s">
        <v>484</v>
      </c>
      <c r="C41" s="332">
        <f>(C16+C19)*(C2+C3)*(C6+C7+C8)</f>
        <v>0</v>
      </c>
      <c r="D41" s="316"/>
      <c r="E41" s="340">
        <f t="shared" si="1"/>
        <v>0</v>
      </c>
      <c r="F41" s="474"/>
      <c r="G41" s="474"/>
      <c r="H41" s="474"/>
      <c r="I41" s="474"/>
      <c r="J41" s="474"/>
      <c r="K41" s="474"/>
      <c r="L41" s="474"/>
      <c r="M41" s="474"/>
    </row>
    <row r="42" spans="1:13" ht="12" customHeight="1">
      <c r="A42" s="474"/>
      <c r="B42" s="749" t="s">
        <v>652</v>
      </c>
      <c r="C42" s="332">
        <f>C19*(C2+C3)*(C6+C7+C8)</f>
        <v>0</v>
      </c>
      <c r="D42" s="316"/>
      <c r="E42" s="340">
        <f t="shared" si="1"/>
        <v>0</v>
      </c>
      <c r="F42" s="474"/>
      <c r="G42" s="474"/>
      <c r="H42" s="474"/>
      <c r="I42" s="474"/>
      <c r="J42" s="474"/>
      <c r="K42" s="474"/>
      <c r="L42" s="474"/>
      <c r="M42" s="474"/>
    </row>
    <row r="43" spans="1:13" ht="12" customHeight="1">
      <c r="A43" s="474"/>
      <c r="B43" s="749" t="s">
        <v>371</v>
      </c>
      <c r="C43" s="332">
        <f>C16*(C2+C3)*(C6+C7+C8)</f>
        <v>0</v>
      </c>
      <c r="D43" s="316"/>
      <c r="E43" s="340">
        <f t="shared" si="1"/>
        <v>0</v>
      </c>
      <c r="F43" s="474"/>
      <c r="G43" s="474"/>
      <c r="H43" s="474"/>
      <c r="I43" s="474"/>
      <c r="J43" s="474"/>
      <c r="K43" s="474"/>
      <c r="L43" s="474"/>
      <c r="M43" s="474"/>
    </row>
    <row r="44" spans="1:13" ht="12" customHeight="1">
      <c r="A44" s="474"/>
      <c r="B44" s="749" t="s">
        <v>372</v>
      </c>
      <c r="C44" s="339">
        <f>C17*(C2+C3)*(C6+C7+C8)</f>
        <v>0</v>
      </c>
      <c r="D44" s="316"/>
      <c r="E44" s="340">
        <f t="shared" si="1"/>
        <v>0</v>
      </c>
      <c r="F44" s="474"/>
      <c r="G44" s="474"/>
      <c r="H44" s="474"/>
      <c r="I44" s="474"/>
      <c r="J44" s="474"/>
      <c r="K44" s="474"/>
      <c r="L44" s="474"/>
      <c r="M44" s="474"/>
    </row>
    <row r="45" spans="1:13" ht="12" customHeight="1">
      <c r="A45" s="474"/>
      <c r="B45" s="749" t="s">
        <v>474</v>
      </c>
      <c r="C45" s="332">
        <f>(C6+C7+C8)*(C2+C3)*C18</f>
        <v>0</v>
      </c>
      <c r="D45" s="316"/>
      <c r="E45" s="340">
        <f t="shared" si="1"/>
        <v>0</v>
      </c>
      <c r="F45" s="474"/>
      <c r="G45" s="474"/>
      <c r="H45" s="474"/>
      <c r="I45" s="474"/>
      <c r="J45" s="474"/>
      <c r="K45" s="474"/>
      <c r="L45" s="474"/>
      <c r="M45" s="474"/>
    </row>
    <row r="46" spans="1:13" ht="12" customHeight="1">
      <c r="A46" s="474"/>
      <c r="B46" s="748" t="s">
        <v>468</v>
      </c>
      <c r="C46" s="331">
        <f>IF(AND(C6&gt;0,C7+C8=0),(C2+C3)*C6,0)</f>
        <v>0</v>
      </c>
      <c r="D46" s="316"/>
      <c r="E46" s="340">
        <f t="shared" si="1"/>
        <v>0</v>
      </c>
      <c r="F46" s="474"/>
      <c r="G46" s="474"/>
      <c r="H46" s="474"/>
      <c r="I46" s="474"/>
      <c r="J46" s="474"/>
      <c r="K46" s="474"/>
      <c r="L46" s="474"/>
      <c r="M46" s="474"/>
    </row>
    <row r="47" spans="1:13" ht="12" customHeight="1">
      <c r="A47" s="474"/>
      <c r="B47" s="748" t="s">
        <v>469</v>
      </c>
      <c r="C47" s="331">
        <f>IF(AND(C6+C8=0,C7&gt;0),(C2+C3)*C7,0)</f>
        <v>0</v>
      </c>
      <c r="D47" s="316"/>
      <c r="E47" s="340">
        <f t="shared" si="1"/>
        <v>0</v>
      </c>
      <c r="F47" s="474"/>
      <c r="G47" s="474"/>
      <c r="H47" s="474"/>
      <c r="I47" s="474"/>
      <c r="J47" s="474"/>
      <c r="K47" s="474"/>
      <c r="L47" s="474"/>
      <c r="M47" s="474"/>
    </row>
    <row r="48" spans="1:13" ht="12" customHeight="1">
      <c r="A48" s="474"/>
      <c r="B48" s="748" t="s">
        <v>608</v>
      </c>
      <c r="C48" s="331">
        <f>IF(AND(C7+C6=0,C8&gt;0),(C3+C2)*C8,0)</f>
        <v>0</v>
      </c>
      <c r="D48" s="316"/>
      <c r="E48" s="340">
        <f>C48*D48</f>
        <v>0</v>
      </c>
      <c r="F48" s="474"/>
      <c r="G48" s="474"/>
      <c r="H48" s="474"/>
      <c r="I48" s="474"/>
      <c r="J48" s="474"/>
      <c r="K48" s="474"/>
      <c r="L48" s="474"/>
      <c r="M48" s="474"/>
    </row>
    <row r="49" spans="1:13" ht="12" customHeight="1">
      <c r="A49" s="474"/>
      <c r="B49" s="748" t="s">
        <v>449</v>
      </c>
      <c r="C49" s="331">
        <f>(C6+C7+C8)*2</f>
        <v>0</v>
      </c>
      <c r="D49" s="316"/>
      <c r="E49" s="340">
        <f t="shared" si="1"/>
        <v>0</v>
      </c>
      <c r="F49" s="474"/>
      <c r="G49" s="474"/>
      <c r="H49" s="474"/>
      <c r="I49" s="474"/>
      <c r="J49" s="474"/>
      <c r="K49" s="474"/>
      <c r="L49" s="474"/>
      <c r="M49" s="474"/>
    </row>
    <row r="50" spans="1:13" ht="12" customHeight="1">
      <c r="A50" s="474"/>
      <c r="B50" s="782" t="s">
        <v>490</v>
      </c>
      <c r="C50" s="334">
        <f>(C2+C3)*(C6+C7+C8)</f>
        <v>0</v>
      </c>
      <c r="D50" s="315"/>
      <c r="E50" s="340">
        <f t="shared" si="1"/>
        <v>0</v>
      </c>
      <c r="F50" s="474"/>
      <c r="G50" s="474"/>
      <c r="H50" s="474"/>
      <c r="I50" s="474"/>
      <c r="J50" s="474"/>
      <c r="K50" s="474"/>
      <c r="L50" s="474"/>
      <c r="M50" s="474"/>
    </row>
    <row r="51" spans="1:13" ht="12" customHeight="1">
      <c r="A51" s="474"/>
      <c r="B51" s="748" t="s">
        <v>668</v>
      </c>
      <c r="C51" s="331">
        <f>(C6+C7+C8)*(C2+C3)</f>
        <v>0</v>
      </c>
      <c r="D51" s="316"/>
      <c r="E51" s="340">
        <f t="shared" si="1"/>
        <v>0</v>
      </c>
      <c r="F51" s="474"/>
      <c r="G51" s="474"/>
      <c r="H51" s="474"/>
      <c r="I51" s="474"/>
      <c r="J51" s="474"/>
      <c r="K51" s="474"/>
      <c r="L51" s="474"/>
      <c r="M51" s="474"/>
    </row>
    <row r="52" spans="1:13" ht="12" customHeight="1">
      <c r="A52" s="474"/>
      <c r="B52" s="748" t="s">
        <v>669</v>
      </c>
      <c r="C52" s="331">
        <f>(C6+C7+C8)*(C2+C3)</f>
        <v>0</v>
      </c>
      <c r="D52" s="316"/>
      <c r="E52" s="340">
        <f t="shared" si="1"/>
        <v>0</v>
      </c>
      <c r="F52" s="474"/>
      <c r="G52" s="474"/>
      <c r="H52" s="474"/>
      <c r="I52" s="474"/>
      <c r="J52" s="474"/>
      <c r="K52" s="474"/>
      <c r="L52" s="474"/>
      <c r="M52" s="474"/>
    </row>
    <row r="53" spans="1:13" ht="12" customHeight="1">
      <c r="A53" s="474"/>
      <c r="B53" s="749" t="s">
        <v>654</v>
      </c>
      <c r="C53" s="332">
        <f>(C6+C7+C8)*2</f>
        <v>0</v>
      </c>
      <c r="D53" s="316"/>
      <c r="E53" s="340">
        <f t="shared" si="1"/>
        <v>0</v>
      </c>
      <c r="F53" s="474"/>
      <c r="G53" s="474"/>
      <c r="H53" s="474"/>
      <c r="I53" s="474"/>
      <c r="J53" s="474"/>
      <c r="K53" s="474"/>
      <c r="L53" s="474"/>
      <c r="M53" s="474"/>
    </row>
    <row r="54" spans="1:13" ht="12" customHeight="1">
      <c r="A54" s="474"/>
      <c r="B54" s="749" t="s">
        <v>546</v>
      </c>
      <c r="C54" s="332">
        <f>(C6+C7+C8)*4</f>
        <v>0</v>
      </c>
      <c r="D54" s="316"/>
      <c r="E54" s="340">
        <f t="shared" si="1"/>
        <v>0</v>
      </c>
      <c r="F54" s="474"/>
      <c r="G54" s="474"/>
      <c r="H54" s="474"/>
      <c r="I54" s="474"/>
      <c r="J54" s="474"/>
      <c r="K54" s="474"/>
      <c r="L54" s="474"/>
      <c r="M54" s="474"/>
    </row>
    <row r="55" spans="1:13" ht="12" customHeight="1">
      <c r="A55" s="474"/>
      <c r="B55" s="749" t="s">
        <v>523</v>
      </c>
      <c r="C55" s="332">
        <f>(C6+C7+C8)*2</f>
        <v>0</v>
      </c>
      <c r="D55" s="316"/>
      <c r="E55" s="340">
        <f t="shared" si="1"/>
        <v>0</v>
      </c>
      <c r="F55" s="474"/>
      <c r="G55" s="474"/>
      <c r="H55" s="474"/>
      <c r="I55" s="474"/>
      <c r="J55" s="474"/>
      <c r="K55" s="474"/>
      <c r="L55" s="474"/>
      <c r="M55" s="474"/>
    </row>
    <row r="56" spans="1:13" ht="12" customHeight="1">
      <c r="A56" s="474"/>
      <c r="B56" s="521" t="s">
        <v>609</v>
      </c>
      <c r="C56" s="423">
        <f>C11*C8*2</f>
        <v>0</v>
      </c>
      <c r="D56" s="622"/>
      <c r="E56" s="413">
        <f t="shared" si="1"/>
        <v>0</v>
      </c>
      <c r="F56" s="474"/>
      <c r="G56" s="474"/>
      <c r="H56" s="474"/>
      <c r="I56" s="474"/>
      <c r="J56" s="474"/>
      <c r="K56" s="474"/>
      <c r="L56" s="474"/>
      <c r="M56" s="474"/>
    </row>
    <row r="57" spans="1:13" ht="12" customHeight="1">
      <c r="A57" s="474"/>
      <c r="B57" s="521" t="s">
        <v>610</v>
      </c>
      <c r="C57" s="423">
        <f>C14*C8*2</f>
        <v>0</v>
      </c>
      <c r="D57" s="622"/>
      <c r="E57" s="413">
        <f t="shared" si="1"/>
        <v>0</v>
      </c>
      <c r="F57" s="474"/>
      <c r="G57" s="474"/>
      <c r="H57" s="474"/>
      <c r="I57" s="474"/>
      <c r="J57" s="474"/>
      <c r="K57" s="474"/>
      <c r="L57" s="474"/>
      <c r="M57" s="474"/>
    </row>
    <row r="58" spans="1:13" ht="12" customHeight="1">
      <c r="A58" s="474"/>
      <c r="B58" s="751" t="s">
        <v>385</v>
      </c>
      <c r="C58" s="339">
        <f>C9*C6*2</f>
        <v>0</v>
      </c>
      <c r="D58" s="316"/>
      <c r="E58" s="340">
        <f t="shared" si="1"/>
        <v>0</v>
      </c>
      <c r="F58" s="474"/>
      <c r="G58" s="474"/>
      <c r="H58" s="474"/>
      <c r="I58" s="474"/>
      <c r="J58" s="474"/>
      <c r="K58" s="474"/>
      <c r="L58" s="474"/>
      <c r="M58" s="474"/>
    </row>
    <row r="59" spans="1:13" ht="12" customHeight="1">
      <c r="A59" s="474"/>
      <c r="B59" s="751" t="s">
        <v>442</v>
      </c>
      <c r="C59" s="339">
        <f>C12*C6*2</f>
        <v>0</v>
      </c>
      <c r="D59" s="316"/>
      <c r="E59" s="340">
        <f t="shared" si="1"/>
        <v>0</v>
      </c>
      <c r="F59" s="474"/>
      <c r="G59" s="474"/>
      <c r="H59" s="474"/>
      <c r="I59" s="474"/>
      <c r="J59" s="474"/>
      <c r="K59" s="474"/>
      <c r="L59" s="474"/>
      <c r="M59" s="474"/>
    </row>
    <row r="60" spans="1:13" ht="12" customHeight="1">
      <c r="A60" s="474"/>
      <c r="B60" s="751" t="s">
        <v>443</v>
      </c>
      <c r="C60" s="339">
        <f>C10*C7*2</f>
        <v>0</v>
      </c>
      <c r="D60" s="316"/>
      <c r="E60" s="340">
        <f t="shared" si="1"/>
        <v>0</v>
      </c>
      <c r="F60" s="474"/>
      <c r="G60" s="474"/>
      <c r="H60" s="474"/>
      <c r="I60" s="474"/>
      <c r="J60" s="474"/>
      <c r="K60" s="474"/>
      <c r="L60" s="474"/>
      <c r="M60" s="474"/>
    </row>
    <row r="61" spans="1:13" ht="12" customHeight="1">
      <c r="A61" s="474"/>
      <c r="B61" s="594" t="s">
        <v>145</v>
      </c>
      <c r="C61" s="575">
        <f>C21</f>
        <v>0</v>
      </c>
      <c r="D61" s="591"/>
      <c r="E61" s="469">
        <f t="shared" si="1"/>
        <v>0</v>
      </c>
      <c r="F61" s="474"/>
      <c r="G61" s="474"/>
      <c r="H61" s="474"/>
      <c r="I61" s="474"/>
      <c r="J61" s="474"/>
      <c r="K61" s="474"/>
      <c r="L61" s="474"/>
      <c r="M61" s="474"/>
    </row>
    <row r="62" spans="1:13" ht="12" customHeight="1">
      <c r="A62" s="474"/>
      <c r="B62" s="594" t="s">
        <v>148</v>
      </c>
      <c r="C62" s="575">
        <f>C20</f>
        <v>0</v>
      </c>
      <c r="D62" s="591"/>
      <c r="E62" s="469">
        <f t="shared" si="1"/>
        <v>0</v>
      </c>
      <c r="F62" s="474"/>
      <c r="G62" s="474"/>
      <c r="H62" s="474"/>
      <c r="I62" s="474"/>
      <c r="J62" s="474"/>
      <c r="K62" s="474"/>
      <c r="L62" s="474"/>
      <c r="M62" s="474"/>
    </row>
    <row r="63" spans="1:13" ht="12" customHeight="1" thickBot="1">
      <c r="A63" s="474"/>
      <c r="B63" s="754" t="s">
        <v>444</v>
      </c>
      <c r="C63" s="335">
        <f>C13*C7*2</f>
        <v>0</v>
      </c>
      <c r="D63" s="317"/>
      <c r="E63" s="341">
        <f t="shared" si="1"/>
        <v>0</v>
      </c>
      <c r="F63" s="474"/>
      <c r="G63" s="474"/>
      <c r="H63" s="474"/>
      <c r="I63" s="474"/>
      <c r="J63" s="474"/>
      <c r="K63" s="474"/>
      <c r="L63" s="474"/>
      <c r="M63" s="474"/>
    </row>
    <row r="64" spans="1:13" ht="12" customHeight="1" thickBot="1">
      <c r="A64" s="474"/>
      <c r="B64" s="474"/>
      <c r="C64" s="474"/>
      <c r="D64" s="755" t="s">
        <v>9</v>
      </c>
      <c r="E64" s="596">
        <f>SUMIF(E24:E63,"&gt;0",E24:E63)</f>
        <v>0</v>
      </c>
      <c r="F64" s="474"/>
      <c r="G64" s="474"/>
      <c r="H64" s="474"/>
      <c r="I64" s="474"/>
      <c r="J64" s="474"/>
      <c r="K64" s="474"/>
      <c r="L64" s="474"/>
      <c r="M64" s="474"/>
    </row>
    <row r="65" spans="1:13">
      <c r="A65" s="474"/>
      <c r="B65" s="474"/>
      <c r="C65" s="474"/>
      <c r="D65" s="474"/>
      <c r="E65" s="474"/>
      <c r="F65" s="474"/>
      <c r="G65" s="474"/>
      <c r="H65" s="474"/>
      <c r="I65" s="474"/>
      <c r="J65" s="474"/>
      <c r="K65" s="474"/>
      <c r="L65" s="474"/>
      <c r="M65" s="474"/>
    </row>
    <row r="66" spans="1:13">
      <c r="A66" s="474"/>
      <c r="B66" s="474"/>
      <c r="C66" s="474"/>
      <c r="D66" s="474"/>
      <c r="E66" s="474"/>
      <c r="F66" s="474"/>
      <c r="G66" s="474"/>
      <c r="H66" s="474"/>
      <c r="I66" s="474"/>
      <c r="J66" s="474"/>
      <c r="K66" s="474"/>
      <c r="L66" s="474"/>
      <c r="M66" s="474"/>
    </row>
    <row r="67" spans="1:13">
      <c r="A67" s="474"/>
      <c r="B67" s="474"/>
      <c r="C67" s="474"/>
      <c r="D67" s="474"/>
      <c r="E67" s="474"/>
      <c r="F67" s="474"/>
      <c r="G67" s="474"/>
      <c r="H67" s="474"/>
      <c r="I67" s="474"/>
      <c r="J67" s="474"/>
      <c r="K67" s="474"/>
      <c r="L67" s="474"/>
      <c r="M67" s="474"/>
    </row>
    <row r="68" spans="1:13" ht="11.25" customHeight="1"/>
  </sheetData>
  <sheetProtection algorithmName="SHA-512" hashValue="E2IO38UNNQwv5dm1xpf6qYfcQPAiWhJDdBICdN4UT5KUXJYQNjC81bbDohtjg8FTcB82vAP2wujC6NwQUJTLLA==" saltValue="OshHIt5JsS/QRxsSWmvmVw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47" priority="55" operator="greaterThan">
      <formula>0</formula>
    </cfRule>
  </conditionalFormatting>
  <conditionalFormatting sqref="C15">
    <cfRule type="cellIs" dxfId="46" priority="56" operator="greaterThan">
      <formula>0</formula>
    </cfRule>
  </conditionalFormatting>
  <conditionalFormatting sqref="C15">
    <cfRule type="cellIs" dxfId="45" priority="57" operator="greaterThan">
      <formula>0</formula>
    </cfRule>
  </conditionalFormatting>
  <conditionalFormatting sqref="C15">
    <cfRule type="cellIs" dxfId="44" priority="61" operator="greaterThan">
      <formula>0</formula>
    </cfRule>
  </conditionalFormatting>
  <conditionalFormatting sqref="C15">
    <cfRule type="cellIs" dxfId="43" priority="60" operator="greaterThan">
      <formula>0</formula>
    </cfRule>
  </conditionalFormatting>
  <conditionalFormatting sqref="C15">
    <cfRule type="cellIs" dxfId="42" priority="59" operator="greaterThan">
      <formula>0</formula>
    </cfRule>
  </conditionalFormatting>
  <conditionalFormatting sqref="C15">
    <cfRule type="cellIs" dxfId="41" priority="58" operator="greaterThan">
      <formula>0</formula>
    </cfRule>
  </conditionalFormatting>
  <conditionalFormatting sqref="J3:J19">
    <cfRule type="cellIs" dxfId="40" priority="28" operator="greaterThan">
      <formula>0</formula>
    </cfRule>
    <cfRule type="cellIs" dxfId="39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" priority="49" operator="equal">
      <formula>"ДА"</formula>
    </cfRule>
    <cfRule type="cellIs" dxfId="37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" priority="46" operator="equal">
      <formula>"ДА"</formula>
    </cfRule>
    <cfRule type="cellIs" dxfId="35" priority="47" operator="equal">
      <formula>"НЕТ"</formula>
    </cfRule>
  </conditionalFormatting>
  <conditionalFormatting sqref="I5">
    <cfRule type="cellIs" dxfId="34" priority="43" operator="equal">
      <formula>"ДА"</formula>
    </cfRule>
    <cfRule type="cellIs" dxfId="33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2" priority="39" operator="equal">
      <formula>"ДА"</formula>
    </cfRule>
    <cfRule type="cellIs" dxfId="31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" priority="35" operator="equal">
      <formula>"ДА"</formula>
    </cfRule>
    <cfRule type="cellIs" dxfId="29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28" priority="33" operator="equal">
      <formula>"ДА"</formula>
    </cfRule>
    <cfRule type="cellIs" dxfId="27" priority="34" operator="equal">
      <formula>"НЕТ"</formula>
    </cfRule>
  </conditionalFormatting>
  <conditionalFormatting sqref="I19">
    <cfRule type="cellIs" dxfId="26" priority="31" operator="equal">
      <formula>"ДА"</formula>
    </cfRule>
    <cfRule type="cellIs" dxfId="25" priority="32" operator="equal">
      <formula>"НЕТ"</formula>
    </cfRule>
  </conditionalFormatting>
  <conditionalFormatting sqref="K3:K19">
    <cfRule type="cellIs" dxfId="24" priority="30" operator="greaterThan">
      <formula>0</formula>
    </cfRule>
  </conditionalFormatting>
  <conditionalFormatting sqref="I15:I19">
    <cfRule type="cellIs" dxfId="23" priority="27" operator="equal">
      <formula>"НЕТ"</formula>
    </cfRule>
  </conditionalFormatting>
  <conditionalFormatting sqref="I3:I19">
    <cfRule type="cellIs" dxfId="22" priority="25" operator="equal">
      <formula>"НЕТ"</formula>
    </cfRule>
    <cfRule type="cellIs" dxfId="21" priority="26" operator="equal">
      <formula>"ДА"</formula>
    </cfRule>
  </conditionalFormatting>
  <conditionalFormatting sqref="I3:I18">
    <cfRule type="cellIs" dxfId="20" priority="24" operator="equal">
      <formula>"ДА"</formula>
    </cfRule>
  </conditionalFormatting>
  <conditionalFormatting sqref="I5">
    <cfRule type="cellIs" dxfId="19" priority="21" operator="equal">
      <formula>"ДА"</formula>
    </cfRule>
    <cfRule type="cellIs" dxfId="18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7" priority="18" operator="equal">
      <formula>"ДА"</formula>
    </cfRule>
    <cfRule type="cellIs" dxfId="16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15" priority="12" operator="greaterThan">
      <formula>0</formula>
    </cfRule>
    <cfRule type="cellIs" dxfId="14" priority="13" operator="greaterThan">
      <formula>0</formula>
    </cfRule>
    <cfRule type="cellIs" dxfId="13" priority="17" operator="greaterThan">
      <formula>0</formula>
    </cfRule>
  </conditionalFormatting>
  <conditionalFormatting sqref="I5">
    <cfRule type="cellIs" dxfId="12" priority="14" operator="equal">
      <formula>"ДА"</formula>
    </cfRule>
    <cfRule type="cellIs" dxfId="11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10" priority="11" operator="greaterThan">
      <formula>0</formula>
    </cfRule>
  </conditionalFormatting>
  <conditionalFormatting sqref="C57:E57">
    <cfRule type="cellIs" dxfId="9" priority="10" operator="greaterThan">
      <formula>0</formula>
    </cfRule>
  </conditionalFormatting>
  <conditionalFormatting sqref="C56:E57">
    <cfRule type="cellIs" dxfId="8" priority="9" operator="greaterThan">
      <formula>0</formula>
    </cfRule>
  </conditionalFormatting>
  <conditionalFormatting sqref="C56:E57">
    <cfRule type="cellIs" dxfId="7" priority="8" operator="greaterThan">
      <formula>0</formula>
    </cfRule>
  </conditionalFormatting>
  <conditionalFormatting sqref="C56:E57">
    <cfRule type="cellIs" dxfId="6" priority="7" operator="greaterThan">
      <formula>0</formula>
    </cfRule>
  </conditionalFormatting>
  <conditionalFormatting sqref="C56:E57">
    <cfRule type="cellIs" dxfId="5" priority="6" operator="greaterThan">
      <formula>0</formula>
    </cfRule>
  </conditionalFormatting>
  <conditionalFormatting sqref="E64">
    <cfRule type="cellIs" dxfId="4" priority="5" operator="greaterThan">
      <formula>0</formula>
    </cfRule>
  </conditionalFormatting>
  <conditionalFormatting sqref="C2:C19">
    <cfRule type="cellIs" dxfId="3" priority="4" operator="greaterThan">
      <formula>0</formula>
    </cfRule>
  </conditionalFormatting>
  <conditionalFormatting sqref="C24:E60 C63:E63">
    <cfRule type="cellIs" dxfId="2" priority="3" operator="greaterThan">
      <formula>0</formula>
    </cfRule>
  </conditionalFormatting>
  <conditionalFormatting sqref="C20:C21">
    <cfRule type="cellIs" dxfId="1" priority="2" operator="greaterThan">
      <formula>0</formula>
    </cfRule>
  </conditionalFormatting>
  <conditionalFormatting sqref="C61:E62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Классика AMG</vt:lpstr>
      <vt:lpstr>Кассета AMG</vt:lpstr>
      <vt:lpstr>День-Ночь AMG 45</vt:lpstr>
      <vt:lpstr>Классика Double AMG</vt:lpstr>
      <vt:lpstr>Классика Mono AMG</vt:lpstr>
      <vt:lpstr>P190x</vt:lpstr>
      <vt:lpstr>P390x</vt:lpstr>
      <vt:lpstr>P890x</vt:lpstr>
      <vt:lpstr>P891x</vt:lpstr>
      <vt:lpstr>Карнизы шторные</vt:lpstr>
      <vt:lpstr>Карнизы шторные Glydea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2023-11-09T12:29:27Z</dcterms:modified>
</cp:coreProperties>
</file>